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mc:AlternateContent xmlns:mc="http://schemas.openxmlformats.org/markup-compatibility/2006">
    <mc:Choice Requires="x15">
      <x15ac:absPath xmlns:x15ac="http://schemas.microsoft.com/office/spreadsheetml/2010/11/ac" url="https://d.docs.live.net/9562818f96e6ccf9/Advance CTE/Equity Index/"/>
    </mc:Choice>
  </mc:AlternateContent>
  <xr:revisionPtr revIDLastSave="152" documentId="8_{9D23D1B1-FAA5-B945-B263-A84F16623B79}" xr6:coauthVersionLast="47" xr6:coauthVersionMax="47" xr10:uidLastSave="{4C5A79A7-5C54-6242-A9C3-412EAB878128}"/>
  <bookViews>
    <workbookView xWindow="-34540" yWindow="-2240" windowWidth="26920" windowHeight="20320" tabRatio="854" xr2:uid="{00000000-000D-0000-FFFF-FFFF00000000}"/>
  </bookViews>
  <sheets>
    <sheet name="User Instructions" sheetId="38" r:id="rId1"/>
    <sheet name="Indicator Definitions" sheetId="1" r:id="rId2"/>
    <sheet name="Counts Entered by User" sheetId="2" r:id="rId3"/>
    <sheet name="Current Representation" sheetId="17" state="hidden" r:id="rId4"/>
    <sheet name="Goals Entered by User" sheetId="4" r:id="rId5"/>
    <sheet name="Numeric Goals" sheetId="22" state="hidden" r:id="rId6"/>
    <sheet name="Count Remaining To Goal" sheetId="34" state="hidden" r:id="rId7"/>
    <sheet name="Pct Remaining to Goal" sheetId="33" state="hidden" r:id="rId8"/>
    <sheet name="Dashboard" sheetId="35" r:id="rId9"/>
  </sheets>
  <definedNames>
    <definedName name="Ind_Filter">Dashboard!$D$4</definedName>
    <definedName name="indicator_defs">'Indicator Definitions'!$B$4:$B$14</definedName>
    <definedName name="Indicators">'Indicator Definitions'!$A$4:$A$14</definedName>
    <definedName name="Tot_AIorAN">'Counts Entered by User'!$Q$3</definedName>
    <definedName name="Tot_AIorAN_Female">'Counts Entered by User'!$S$3</definedName>
    <definedName name="Tot_AIorAN_Male">'Counts Entered by User'!$R$3</definedName>
    <definedName name="Tot_API">'Counts Entered by User'!$E$3</definedName>
    <definedName name="Tot_API_Female">'Counts Entered by User'!$G$3</definedName>
    <definedName name="Tot_API_Male">'Counts Entered by User'!$F$3</definedName>
    <definedName name="Tot_BNL">'Counts Entered by User'!$H$3</definedName>
    <definedName name="Tot_BNL_Female">'Counts Entered by User'!$J$3</definedName>
    <definedName name="Tot_BNL_Male">'Counts Entered by User'!$I$3</definedName>
    <definedName name="Tot_Disab">'Counts Entered by User'!$W$3</definedName>
    <definedName name="Tot_Disab_Female">'Counts Entered by User'!$Y$3</definedName>
    <definedName name="Tot_Disab_Male">'Counts Entered by User'!$X$3</definedName>
    <definedName name="Tot_Econ_Disadv">'Counts Entered by User'!$Z$3</definedName>
    <definedName name="Tot_Econ_Disadv_Female">'Counts Entered by User'!$AB$3</definedName>
    <definedName name="Tot_Econ_Disadv_Male">'Counts Entered by User'!$AA$3</definedName>
    <definedName name="Tot_Eng_Lang">'Counts Entered by User'!$AC$3</definedName>
    <definedName name="Tot_Eng_Lang_Female">'Counts Entered by User'!$AE$3</definedName>
    <definedName name="Tot_Eng_Lang_Male">'Counts Entered by User'!$AD$3</definedName>
    <definedName name="Tot_Female">'Counts Entered by User'!$D$3</definedName>
    <definedName name="Tot_Latinx">'Counts Entered by User'!$K$3</definedName>
    <definedName name="Tot_Latinx_Female">'Counts Entered by User'!$M$3</definedName>
    <definedName name="Tot_Latinx_Male">'Counts Entered by User'!$L$3</definedName>
    <definedName name="Tot_Male">'Counts Entered by User'!$C$3</definedName>
    <definedName name="Tot_Migrant">'Counts Entered by User'!$AF$3</definedName>
    <definedName name="Tot_Migrant_Female">'Counts Entered by User'!$AH$3</definedName>
    <definedName name="Tot_Migrant_Male">'Counts Entered by User'!$AG$3</definedName>
    <definedName name="Tot_Multiracial">'Counts Entered by User'!$N$3</definedName>
    <definedName name="Tot_Multiracial_Female">'Counts Entered by User'!$P$3</definedName>
    <definedName name="Tot_Multiracial_Male">'Counts Entered by User'!$O$3</definedName>
    <definedName name="Tot_Student_Pop">'Counts Entered by User'!$B$3</definedName>
    <definedName name="Tot_WN_Latinx">'Counts Entered by User'!$T$3</definedName>
    <definedName name="Tot_WN_Latinx_Female">'Counts Entered by User'!$V$3</definedName>
    <definedName name="Tot_WN_Latinx_Male">'Counts Entered by User'!$U$3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2" l="1"/>
  <c r="V14" i="22" a="1"/>
  <c r="V14" i="22" s="1"/>
  <c r="U14" i="22" a="1"/>
  <c r="U14" i="22" s="1"/>
  <c r="T14" i="22" a="1"/>
  <c r="T14" i="22" s="1"/>
  <c r="M14" i="22" a="1"/>
  <c r="M14" i="22" s="1"/>
  <c r="L14" i="22" a="1"/>
  <c r="L14" i="22" s="1"/>
  <c r="K14" i="22" a="1"/>
  <c r="K14" i="22" s="1"/>
  <c r="V13" i="22" a="1"/>
  <c r="V13" i="22" s="1"/>
  <c r="U13" i="22" a="1"/>
  <c r="U13" i="22" s="1"/>
  <c r="T13" i="22" a="1"/>
  <c r="T13" i="22" s="1"/>
  <c r="M13" i="22" a="1"/>
  <c r="M13" i="22" s="1"/>
  <c r="L13" i="22" a="1"/>
  <c r="L13" i="22" s="1"/>
  <c r="K13" i="22" a="1"/>
  <c r="K13" i="22" s="1"/>
  <c r="V12" i="22" a="1"/>
  <c r="V12" i="22" s="1"/>
  <c r="U12" i="22" a="1"/>
  <c r="U12" i="22" s="1"/>
  <c r="T12" i="22" a="1"/>
  <c r="T12" i="22" s="1"/>
  <c r="M12" i="22" a="1"/>
  <c r="M12" i="22" s="1"/>
  <c r="L12" i="22" a="1"/>
  <c r="L12" i="22" s="1"/>
  <c r="K12" i="22" a="1"/>
  <c r="K12" i="22" s="1"/>
  <c r="V11" i="22" a="1"/>
  <c r="V11" i="22" s="1"/>
  <c r="U11" i="22" a="1"/>
  <c r="U11" i="22" s="1"/>
  <c r="T11" i="22" a="1"/>
  <c r="T11" i="22" s="1"/>
  <c r="M11" i="22" a="1"/>
  <c r="M11" i="22" s="1"/>
  <c r="L11" i="22" a="1"/>
  <c r="L11" i="22" s="1"/>
  <c r="K11" i="22" a="1"/>
  <c r="K11" i="22" s="1"/>
  <c r="V10" i="22" a="1"/>
  <c r="V10" i="22" s="1"/>
  <c r="U10" i="22" a="1"/>
  <c r="U10" i="22" s="1"/>
  <c r="T10" i="22" a="1"/>
  <c r="T10" i="22" s="1"/>
  <c r="M10" i="22" a="1"/>
  <c r="M10" i="22" s="1"/>
  <c r="L10" i="22" a="1"/>
  <c r="L10" i="22" s="1"/>
  <c r="K10" i="22" a="1"/>
  <c r="K10" i="22" s="1"/>
  <c r="V9" i="22" a="1"/>
  <c r="V9" i="22" s="1"/>
  <c r="U9" i="22" a="1"/>
  <c r="U9" i="22" s="1"/>
  <c r="T9" i="22" a="1"/>
  <c r="T9" i="22" s="1"/>
  <c r="M9" i="22" a="1"/>
  <c r="M9" i="22" s="1"/>
  <c r="L9" i="22" a="1"/>
  <c r="L9" i="22" s="1"/>
  <c r="K9" i="22" a="1"/>
  <c r="K9" i="22" s="1"/>
  <c r="V8" i="22" a="1"/>
  <c r="V8" i="22" s="1"/>
  <c r="U8" i="22" a="1"/>
  <c r="U8" i="22" s="1"/>
  <c r="T8" i="22" a="1"/>
  <c r="T8" i="22" s="1"/>
  <c r="M8" i="22" a="1"/>
  <c r="M8" i="22" s="1"/>
  <c r="L8" i="22" a="1"/>
  <c r="L8" i="22" s="1"/>
  <c r="K8" i="22" a="1"/>
  <c r="K8" i="22" s="1"/>
  <c r="V7" i="22" a="1"/>
  <c r="V7" i="22" s="1"/>
  <c r="U7" i="22" a="1"/>
  <c r="U7" i="22" s="1"/>
  <c r="T7" i="22" a="1"/>
  <c r="T7" i="22" s="1"/>
  <c r="M7" i="22" a="1"/>
  <c r="M7" i="22" s="1"/>
  <c r="L7" i="22" a="1"/>
  <c r="L7" i="22" s="1"/>
  <c r="K7" i="22" a="1"/>
  <c r="K7" i="22" s="1"/>
  <c r="V6" i="22" a="1"/>
  <c r="V6" i="22" s="1"/>
  <c r="U6" i="22" a="1"/>
  <c r="U6" i="22" s="1"/>
  <c r="T6" i="22" a="1"/>
  <c r="T6" i="22" s="1"/>
  <c r="M6" i="22" a="1"/>
  <c r="M6" i="22" s="1"/>
  <c r="L6" i="22" a="1"/>
  <c r="L6" i="22" s="1"/>
  <c r="K6" i="22" a="1"/>
  <c r="K6" i="22" s="1"/>
  <c r="V5" i="22" a="1"/>
  <c r="V5" i="22" s="1"/>
  <c r="U5" i="22" a="1"/>
  <c r="U5" i="22" s="1"/>
  <c r="T5" i="22" a="1"/>
  <c r="T5" i="22" s="1"/>
  <c r="M5" i="22" a="1"/>
  <c r="M5" i="22" s="1"/>
  <c r="L5" i="22" a="1"/>
  <c r="L5" i="22" s="1"/>
  <c r="K5" i="22" a="1"/>
  <c r="K5" i="22" s="1"/>
  <c r="V4" i="22" a="1"/>
  <c r="V4" i="22" s="1"/>
  <c r="U4" i="22" a="1"/>
  <c r="U4" i="22" s="1"/>
  <c r="T4" i="22" a="1"/>
  <c r="T4" i="22" s="1"/>
  <c r="M4" i="22" a="1"/>
  <c r="M4" i="22" s="1"/>
  <c r="L4" i="22" a="1"/>
  <c r="L4" i="22" s="1"/>
  <c r="K4" i="22" a="1"/>
  <c r="K4" i="22" s="1"/>
  <c r="V3" i="4" a="1"/>
  <c r="V3" i="4" s="1"/>
  <c r="U3" i="4" a="1"/>
  <c r="U3" i="4" s="1"/>
  <c r="T3" i="4" a="1"/>
  <c r="T3" i="4" s="1"/>
  <c r="M3" i="4" a="1"/>
  <c r="M3" i="4" s="1"/>
  <c r="L3" i="4" a="1"/>
  <c r="L3" i="4" s="1"/>
  <c r="K3" i="4" a="1"/>
  <c r="K3" i="4" s="1"/>
  <c r="V14" i="17" a="1"/>
  <c r="V14" i="17" s="1"/>
  <c r="U14" i="17" a="1"/>
  <c r="U14" i="17" s="1"/>
  <c r="T14" i="17" a="1"/>
  <c r="T14" i="17" s="1"/>
  <c r="M14" i="17" a="1"/>
  <c r="M14" i="17" s="1"/>
  <c r="L14" i="17" a="1"/>
  <c r="L14" i="17" s="1"/>
  <c r="K14" i="17" a="1"/>
  <c r="K14" i="17" s="1"/>
  <c r="V13" i="17" a="1"/>
  <c r="V13" i="17" s="1"/>
  <c r="U13" i="17" a="1"/>
  <c r="U13" i="17" s="1"/>
  <c r="T13" i="17" a="1"/>
  <c r="T13" i="17" s="1"/>
  <c r="M13" i="17" a="1"/>
  <c r="M13" i="17" s="1"/>
  <c r="L13" i="17" a="1"/>
  <c r="L13" i="17" s="1"/>
  <c r="K13" i="17" a="1"/>
  <c r="K13" i="17" s="1"/>
  <c r="V12" i="17" a="1"/>
  <c r="V12" i="17" s="1"/>
  <c r="U12" i="17" a="1"/>
  <c r="U12" i="17" s="1"/>
  <c r="T12" i="17" a="1"/>
  <c r="T12" i="17" s="1"/>
  <c r="M12" i="17" a="1"/>
  <c r="M12" i="17" s="1"/>
  <c r="L12" i="17" a="1"/>
  <c r="L12" i="17" s="1"/>
  <c r="K12" i="17" a="1"/>
  <c r="K12" i="17" s="1"/>
  <c r="V11" i="17" a="1"/>
  <c r="V11" i="17" s="1"/>
  <c r="U11" i="17" a="1"/>
  <c r="U11" i="17" s="1"/>
  <c r="T11" i="17" a="1"/>
  <c r="T11" i="17" s="1"/>
  <c r="M11" i="17" a="1"/>
  <c r="M11" i="17" s="1"/>
  <c r="L11" i="17" a="1"/>
  <c r="L11" i="17" s="1"/>
  <c r="K11" i="17" a="1"/>
  <c r="K11" i="17" s="1"/>
  <c r="V10" i="17" a="1"/>
  <c r="V10" i="17" s="1"/>
  <c r="U10" i="17" a="1"/>
  <c r="U10" i="17" s="1"/>
  <c r="T10" i="17" a="1"/>
  <c r="T10" i="17" s="1"/>
  <c r="M10" i="17" a="1"/>
  <c r="M10" i="17" s="1"/>
  <c r="L10" i="17" a="1"/>
  <c r="L10" i="17" s="1"/>
  <c r="K10" i="17" a="1"/>
  <c r="K10" i="17" s="1"/>
  <c r="V9" i="17" a="1"/>
  <c r="V9" i="17" s="1"/>
  <c r="U9" i="17" a="1"/>
  <c r="U9" i="17" s="1"/>
  <c r="T9" i="17" a="1"/>
  <c r="T9" i="17" s="1"/>
  <c r="M9" i="17" a="1"/>
  <c r="M9" i="17" s="1"/>
  <c r="L9" i="17" a="1"/>
  <c r="L9" i="17" s="1"/>
  <c r="K9" i="17" a="1"/>
  <c r="K9" i="17" s="1"/>
  <c r="V8" i="17" a="1"/>
  <c r="V8" i="17" s="1"/>
  <c r="U8" i="17" a="1"/>
  <c r="U8" i="17" s="1"/>
  <c r="T8" i="17" a="1"/>
  <c r="T8" i="17" s="1"/>
  <c r="M8" i="17" a="1"/>
  <c r="M8" i="17" s="1"/>
  <c r="L8" i="17" a="1"/>
  <c r="L8" i="17" s="1"/>
  <c r="K8" i="17" a="1"/>
  <c r="K8" i="17" s="1"/>
  <c r="V7" i="17" a="1"/>
  <c r="V7" i="17" s="1"/>
  <c r="U7" i="17" a="1"/>
  <c r="U7" i="17" s="1"/>
  <c r="T7" i="17" a="1"/>
  <c r="T7" i="17" s="1"/>
  <c r="M7" i="17" a="1"/>
  <c r="M7" i="17" s="1"/>
  <c r="L7" i="17" a="1"/>
  <c r="L7" i="17" s="1"/>
  <c r="K7" i="17" a="1"/>
  <c r="K7" i="17" s="1"/>
  <c r="V6" i="17" a="1"/>
  <c r="V6" i="17" s="1"/>
  <c r="U6" i="17" a="1"/>
  <c r="U6" i="17" s="1"/>
  <c r="T6" i="17" a="1"/>
  <c r="T6" i="17" s="1"/>
  <c r="M6" i="17" a="1"/>
  <c r="M6" i="17" s="1"/>
  <c r="L6" i="17" a="1"/>
  <c r="L6" i="17" s="1"/>
  <c r="K6" i="17" a="1"/>
  <c r="K6" i="17" s="1"/>
  <c r="V5" i="17" a="1"/>
  <c r="V5" i="17" s="1"/>
  <c r="U5" i="17" a="1"/>
  <c r="U5" i="17" s="1"/>
  <c r="T5" i="17" a="1"/>
  <c r="T5" i="17" s="1"/>
  <c r="M5" i="17" a="1"/>
  <c r="M5" i="17" s="1"/>
  <c r="L5" i="17" a="1"/>
  <c r="L5" i="17" s="1"/>
  <c r="K5" i="17" a="1"/>
  <c r="K5" i="17" s="1"/>
  <c r="V4" i="17" a="1"/>
  <c r="V4" i="17" s="1"/>
  <c r="U4" i="17" a="1"/>
  <c r="U4" i="17" s="1"/>
  <c r="T4" i="17" a="1"/>
  <c r="T4" i="17" s="1"/>
  <c r="M4" i="17" a="1"/>
  <c r="M4" i="17" s="1"/>
  <c r="L4" i="17" a="1"/>
  <c r="L4" i="17" s="1"/>
  <c r="K4" i="17" a="1"/>
  <c r="K4" i="17" s="1"/>
  <c r="V3" i="17" a="1"/>
  <c r="V3" i="17" s="1"/>
  <c r="U3" i="17" a="1"/>
  <c r="U3" i="17" s="1"/>
  <c r="T3" i="17" a="1"/>
  <c r="T3" i="17" s="1"/>
  <c r="M3" i="17" a="1"/>
  <c r="M3" i="17" s="1"/>
  <c r="L3" i="17" a="1"/>
  <c r="L3" i="17" s="1"/>
  <c r="K3" i="17" a="1"/>
  <c r="K3" i="17" s="1"/>
  <c r="J27" i="33"/>
  <c r="J22" i="33"/>
  <c r="E22" i="33"/>
  <c r="D22" i="33"/>
  <c r="AB14" i="22" l="1"/>
  <c r="AB13" i="22"/>
  <c r="AB12" i="22"/>
  <c r="AB11" i="22"/>
  <c r="AA11" i="33" s="1"/>
  <c r="AU44" i="33" s="1"/>
  <c r="AB10" i="22"/>
  <c r="AB9" i="22"/>
  <c r="AB8" i="22"/>
  <c r="AB7" i="22"/>
  <c r="AB6" i="22"/>
  <c r="AB5" i="22"/>
  <c r="AB4" i="22"/>
  <c r="AC14" i="22"/>
  <c r="AC13" i="22"/>
  <c r="AC12" i="22"/>
  <c r="AB12" i="33" s="1"/>
  <c r="AV45" i="33" s="1"/>
  <c r="AC11" i="22"/>
  <c r="AB11" i="33" s="1"/>
  <c r="AU45" i="33" s="1"/>
  <c r="AC10" i="22"/>
  <c r="AB10" i="33" s="1"/>
  <c r="AT45" i="33" s="1"/>
  <c r="AC9" i="22"/>
  <c r="AC8" i="22"/>
  <c r="AB8" i="33" s="1"/>
  <c r="AR45" i="33" s="1"/>
  <c r="AC7" i="22"/>
  <c r="AB7" i="33" s="1"/>
  <c r="AC6" i="22"/>
  <c r="AC5" i="22"/>
  <c r="AB5" i="33" s="1"/>
  <c r="AO45" i="33" s="1"/>
  <c r="AC4" i="22"/>
  <c r="AB4" i="33" s="1"/>
  <c r="AN45" i="33" s="1"/>
  <c r="AD14" i="22"/>
  <c r="AC14" i="33" s="1"/>
  <c r="AC71" i="33" s="1"/>
  <c r="AD13" i="22"/>
  <c r="AC13" i="33" s="1"/>
  <c r="AC70" i="33" s="1"/>
  <c r="AD12" i="22"/>
  <c r="AC12" i="33" s="1"/>
  <c r="AC69" i="33" s="1"/>
  <c r="AD11" i="22"/>
  <c r="AC11" i="33" s="1"/>
  <c r="AC68" i="33" s="1"/>
  <c r="AD10" i="22"/>
  <c r="AD9" i="22"/>
  <c r="AD8" i="22"/>
  <c r="AC8" i="33" s="1"/>
  <c r="AC65" i="33" s="1"/>
  <c r="AD7" i="22"/>
  <c r="AC7" i="33" s="1"/>
  <c r="AC64" i="33" s="1"/>
  <c r="AD6" i="22"/>
  <c r="AC6" i="33" s="1"/>
  <c r="AC63" i="33" s="1"/>
  <c r="AD5" i="22"/>
  <c r="AC5" i="33" s="1"/>
  <c r="AC62" i="33" s="1"/>
  <c r="AD4" i="22"/>
  <c r="AC4" i="33" s="1"/>
  <c r="AC61" i="33" s="1"/>
  <c r="AE4" i="22"/>
  <c r="AD4" i="33" s="1"/>
  <c r="AD61" i="33" s="1"/>
  <c r="AF4" i="22"/>
  <c r="AG5" i="22"/>
  <c r="AG6" i="22"/>
  <c r="AF6" i="33" s="1"/>
  <c r="AF63" i="33" s="1"/>
  <c r="AG7" i="22"/>
  <c r="AF7" i="33" s="1"/>
  <c r="AF64" i="33" s="1"/>
  <c r="AG8" i="22"/>
  <c r="AF8" i="33" s="1"/>
  <c r="AF65" i="33" s="1"/>
  <c r="AG9" i="22"/>
  <c r="AF9" i="33" s="1"/>
  <c r="AF66" i="33" s="1"/>
  <c r="AG10" i="22"/>
  <c r="AG11" i="22"/>
  <c r="AG12" i="22"/>
  <c r="AF12" i="33" s="1"/>
  <c r="AF69" i="33" s="1"/>
  <c r="AG13" i="22"/>
  <c r="AG14" i="22"/>
  <c r="AG4" i="22"/>
  <c r="AF4" i="33" s="1"/>
  <c r="AF61" i="33" s="1"/>
  <c r="AH5" i="22"/>
  <c r="AG5" i="33" s="1"/>
  <c r="AG62" i="33" s="1"/>
  <c r="AH6" i="22"/>
  <c r="AG6" i="33" s="1"/>
  <c r="AG63" i="33" s="1"/>
  <c r="AH7" i="22"/>
  <c r="AG7" i="33" s="1"/>
  <c r="AG64" i="33" s="1"/>
  <c r="AH8" i="22"/>
  <c r="AG8" i="33" s="1"/>
  <c r="AG65" i="33" s="1"/>
  <c r="AH9" i="22"/>
  <c r="AH10" i="22"/>
  <c r="AH11" i="22"/>
  <c r="AG11" i="33" s="1"/>
  <c r="AG68" i="33" s="1"/>
  <c r="AH12" i="22"/>
  <c r="AG12" i="33" s="1"/>
  <c r="AG69" i="33" s="1"/>
  <c r="AH13" i="22"/>
  <c r="AG13" i="33" s="1"/>
  <c r="AG70" i="33" s="1"/>
  <c r="AH14" i="22"/>
  <c r="AG14" i="33" s="1"/>
  <c r="AG71" i="33" s="1"/>
  <c r="AH4" i="22"/>
  <c r="AG4" i="33" s="1"/>
  <c r="AG61" i="33" s="1"/>
  <c r="AA5" i="22"/>
  <c r="AA6" i="22"/>
  <c r="AA7" i="22"/>
  <c r="AA8" i="22"/>
  <c r="Z8" i="33" s="1"/>
  <c r="AR43" i="33" s="1"/>
  <c r="AA9" i="22"/>
  <c r="Z9" i="33" s="1"/>
  <c r="AS43" i="33" s="1"/>
  <c r="AA10" i="22"/>
  <c r="Z10" i="33" s="1"/>
  <c r="AA11" i="22"/>
  <c r="Z11" i="33" s="1"/>
  <c r="AU43" i="33" s="1"/>
  <c r="AA12" i="22"/>
  <c r="AA13" i="22"/>
  <c r="AA14" i="22"/>
  <c r="AA4" i="22"/>
  <c r="Z4" i="33" s="1"/>
  <c r="AN43" i="33" s="1"/>
  <c r="Z5" i="22"/>
  <c r="Z6" i="22"/>
  <c r="Y6" i="33" s="1"/>
  <c r="AP42" i="33" s="1"/>
  <c r="Z7" i="22"/>
  <c r="Y7" i="33" s="1"/>
  <c r="AQ42" i="33" s="1"/>
  <c r="Z8" i="22"/>
  <c r="Y8" i="33" s="1"/>
  <c r="Z9" i="22"/>
  <c r="Z10" i="22"/>
  <c r="Z11" i="22"/>
  <c r="Z12" i="22"/>
  <c r="Y12" i="33" s="1"/>
  <c r="AV42" i="33" s="1"/>
  <c r="Z13" i="22"/>
  <c r="Y13" i="33" s="1"/>
  <c r="AW42" i="33" s="1"/>
  <c r="Z14" i="22"/>
  <c r="Y14" i="33" s="1"/>
  <c r="AX42" i="33" s="1"/>
  <c r="Z4" i="22"/>
  <c r="Y4" i="33" s="1"/>
  <c r="AN42" i="33" s="1"/>
  <c r="Y5" i="22"/>
  <c r="Y6" i="22"/>
  <c r="Y7" i="22"/>
  <c r="Y8" i="22"/>
  <c r="X8" i="33" s="1"/>
  <c r="AR41" i="33" s="1"/>
  <c r="Y9" i="22"/>
  <c r="Y10" i="22"/>
  <c r="X10" i="33" s="1"/>
  <c r="AT41" i="33" s="1"/>
  <c r="Y11" i="22"/>
  <c r="X11" i="33" s="1"/>
  <c r="AU41" i="33" s="1"/>
  <c r="Y12" i="22"/>
  <c r="X12" i="33" s="1"/>
  <c r="AV41" i="33" s="1"/>
  <c r="Y13" i="22"/>
  <c r="X13" i="33" s="1"/>
  <c r="Y14" i="22"/>
  <c r="Y4" i="22"/>
  <c r="X4" i="33" s="1"/>
  <c r="AN41" i="33" s="1"/>
  <c r="X5" i="22"/>
  <c r="W5" i="33" s="1"/>
  <c r="AO40" i="33" s="1"/>
  <c r="X6" i="22"/>
  <c r="X7" i="22"/>
  <c r="W7" i="33" s="1"/>
  <c r="AQ40" i="33" s="1"/>
  <c r="X8" i="22"/>
  <c r="W8" i="33" s="1"/>
  <c r="AR40" i="33" s="1"/>
  <c r="X9" i="22"/>
  <c r="W9" i="33" s="1"/>
  <c r="AS40" i="33" s="1"/>
  <c r="X10" i="22"/>
  <c r="W10" i="33" s="1"/>
  <c r="AT40" i="33" s="1"/>
  <c r="X11" i="22"/>
  <c r="X12" i="22"/>
  <c r="X13" i="22"/>
  <c r="X14" i="22"/>
  <c r="X4" i="22"/>
  <c r="W4" i="33" s="1"/>
  <c r="AN40" i="33" s="1"/>
  <c r="W5" i="22"/>
  <c r="V5" i="33" s="1"/>
  <c r="W6" i="22"/>
  <c r="V6" i="33" s="1"/>
  <c r="AP39" i="33" s="1"/>
  <c r="W7" i="22"/>
  <c r="V7" i="33" s="1"/>
  <c r="AQ39" i="33" s="1"/>
  <c r="W8" i="22"/>
  <c r="W9" i="22"/>
  <c r="V9" i="33" s="1"/>
  <c r="AS39" i="33" s="1"/>
  <c r="W10" i="22"/>
  <c r="W11" i="22"/>
  <c r="W12" i="22"/>
  <c r="V12" i="33" s="1"/>
  <c r="W13" i="22"/>
  <c r="V13" i="33" s="1"/>
  <c r="AW39" i="33" s="1"/>
  <c r="W14" i="22"/>
  <c r="V14" i="33" s="1"/>
  <c r="AX39" i="33" s="1"/>
  <c r="W4" i="22"/>
  <c r="V4" i="33" s="1"/>
  <c r="AN39" i="33" s="1"/>
  <c r="U12" i="33"/>
  <c r="AV38" i="33" s="1"/>
  <c r="T8" i="33"/>
  <c r="AR37" i="33" s="1"/>
  <c r="T4" i="33"/>
  <c r="AN37" i="33" s="1"/>
  <c r="S8" i="33"/>
  <c r="AR36" i="33" s="1"/>
  <c r="S12" i="33"/>
  <c r="AV36" i="33" s="1"/>
  <c r="S5" i="22"/>
  <c r="R5" i="33" s="1"/>
  <c r="AO35" i="33" s="1"/>
  <c r="S6" i="22"/>
  <c r="R6" i="33" s="1"/>
  <c r="AP35" i="33" s="1"/>
  <c r="S7" i="22"/>
  <c r="R7" i="33" s="1"/>
  <c r="AQ35" i="33" s="1"/>
  <c r="S8" i="22"/>
  <c r="R8" i="33" s="1"/>
  <c r="S9" i="22"/>
  <c r="S10" i="22"/>
  <c r="S11" i="22"/>
  <c r="R11" i="33" s="1"/>
  <c r="AU35" i="33" s="1"/>
  <c r="S12" i="22"/>
  <c r="R12" i="33" s="1"/>
  <c r="AV35" i="33" s="1"/>
  <c r="S13" i="22"/>
  <c r="R13" i="33" s="1"/>
  <c r="AW35" i="33" s="1"/>
  <c r="S14" i="22"/>
  <c r="S4" i="22"/>
  <c r="R4" i="33" s="1"/>
  <c r="AN35" i="33" s="1"/>
  <c r="R5" i="22"/>
  <c r="R6" i="22"/>
  <c r="R7" i="22"/>
  <c r="Q7" i="33" s="1"/>
  <c r="AQ34" i="33" s="1"/>
  <c r="R8" i="22"/>
  <c r="Q8" i="33" s="1"/>
  <c r="AR34" i="33" s="1"/>
  <c r="R9" i="22"/>
  <c r="Q9" i="33" s="1"/>
  <c r="AS34" i="33" s="1"/>
  <c r="R10" i="22"/>
  <c r="Q10" i="33" s="1"/>
  <c r="AT34" i="33" s="1"/>
  <c r="R11" i="22"/>
  <c r="Q11" i="33" s="1"/>
  <c r="R12" i="22"/>
  <c r="Q12" i="33" s="1"/>
  <c r="AV34" i="33" s="1"/>
  <c r="R13" i="22"/>
  <c r="R14" i="22"/>
  <c r="R4" i="22"/>
  <c r="Q5" i="22"/>
  <c r="P5" i="33" s="1"/>
  <c r="AO33" i="33" s="1"/>
  <c r="Q6" i="22"/>
  <c r="P6" i="33" s="1"/>
  <c r="AP33" i="33" s="1"/>
  <c r="Q7" i="22"/>
  <c r="P7" i="33" s="1"/>
  <c r="AQ33" i="33" s="1"/>
  <c r="Q8" i="22"/>
  <c r="P8" i="33" s="1"/>
  <c r="AR33" i="33" s="1"/>
  <c r="Q9" i="22"/>
  <c r="P9" i="33" s="1"/>
  <c r="AS33" i="33" s="1"/>
  <c r="Q10" i="22"/>
  <c r="Q11" i="22"/>
  <c r="Q12" i="22"/>
  <c r="P12" i="33" s="1"/>
  <c r="AV33" i="33" s="1"/>
  <c r="Q13" i="22"/>
  <c r="P13" i="33" s="1"/>
  <c r="AW33" i="33" s="1"/>
  <c r="Q14" i="22"/>
  <c r="P14" i="33" s="1"/>
  <c r="AX33" i="33" s="1"/>
  <c r="Q4" i="22"/>
  <c r="P4" i="33" s="1"/>
  <c r="AN33" i="33" s="1"/>
  <c r="P5" i="22"/>
  <c r="O5" i="33" s="1"/>
  <c r="AO32" i="33" s="1"/>
  <c r="P6" i="22"/>
  <c r="O6" i="33" s="1"/>
  <c r="AP32" i="33" s="1"/>
  <c r="P7" i="22"/>
  <c r="P8" i="22"/>
  <c r="P9" i="22"/>
  <c r="O9" i="33" s="1"/>
  <c r="AS32" i="33" s="1"/>
  <c r="P10" i="22"/>
  <c r="O10" i="33" s="1"/>
  <c r="AT32" i="33" s="1"/>
  <c r="P11" i="22"/>
  <c r="P12" i="22"/>
  <c r="O12" i="33" s="1"/>
  <c r="P13" i="22"/>
  <c r="O13" i="33" s="1"/>
  <c r="AW32" i="33" s="1"/>
  <c r="P14" i="22"/>
  <c r="O14" i="33" s="1"/>
  <c r="AX32" i="33" s="1"/>
  <c r="P4" i="22"/>
  <c r="O5" i="22"/>
  <c r="O6" i="22"/>
  <c r="O7" i="22"/>
  <c r="N7" i="33" s="1"/>
  <c r="O8" i="22"/>
  <c r="N8" i="33" s="1"/>
  <c r="O9" i="22"/>
  <c r="N9" i="33" s="1"/>
  <c r="AS31" i="33" s="1"/>
  <c r="O10" i="22"/>
  <c r="N10" i="33" s="1"/>
  <c r="AT31" i="33" s="1"/>
  <c r="O11" i="22"/>
  <c r="N11" i="33" s="1"/>
  <c r="O12" i="22"/>
  <c r="N12" i="33" s="1"/>
  <c r="O13" i="22"/>
  <c r="O14" i="22"/>
  <c r="N14" i="33" s="1"/>
  <c r="AX31" i="33" s="1"/>
  <c r="O4" i="22"/>
  <c r="N4" i="33" s="1"/>
  <c r="AN31" i="33" s="1"/>
  <c r="N5" i="22"/>
  <c r="M5" i="33" s="1"/>
  <c r="N6" i="22"/>
  <c r="M6" i="33" s="1"/>
  <c r="N7" i="22"/>
  <c r="M7" i="33" s="1"/>
  <c r="N8" i="22"/>
  <c r="M8" i="33" s="1"/>
  <c r="N9" i="22"/>
  <c r="N10" i="22"/>
  <c r="N11" i="22"/>
  <c r="N12" i="22"/>
  <c r="M12" i="33" s="1"/>
  <c r="N13" i="22"/>
  <c r="M13" i="33" s="1"/>
  <c r="N14" i="22"/>
  <c r="M14" i="33" s="1"/>
  <c r="N4" i="22"/>
  <c r="M4" i="33" s="1"/>
  <c r="L5" i="33"/>
  <c r="L8" i="33"/>
  <c r="L9" i="33"/>
  <c r="L12" i="33"/>
  <c r="L13" i="33"/>
  <c r="K6" i="33"/>
  <c r="AP28" i="33" s="1"/>
  <c r="K8" i="33"/>
  <c r="K10" i="33"/>
  <c r="AT28" i="33" s="1"/>
  <c r="K12" i="33"/>
  <c r="K14" i="33"/>
  <c r="AX28" i="33" s="1"/>
  <c r="J7" i="33"/>
  <c r="J8" i="33"/>
  <c r="J11" i="33"/>
  <c r="J12" i="33"/>
  <c r="J4" i="33"/>
  <c r="AN27" i="33" s="1"/>
  <c r="J5" i="22"/>
  <c r="I5" i="33" s="1"/>
  <c r="AO26" i="33" s="1"/>
  <c r="J6" i="22"/>
  <c r="I6" i="33" s="1"/>
  <c r="AP26" i="33" s="1"/>
  <c r="J7" i="22"/>
  <c r="J8" i="22"/>
  <c r="I8" i="33" s="1"/>
  <c r="AR26" i="33" s="1"/>
  <c r="J9" i="22"/>
  <c r="J10" i="22"/>
  <c r="I10" i="33" s="1"/>
  <c r="AT26" i="33" s="1"/>
  <c r="J11" i="22"/>
  <c r="I11" i="33" s="1"/>
  <c r="AU26" i="33" s="1"/>
  <c r="J12" i="22"/>
  <c r="I12" i="33" s="1"/>
  <c r="AV26" i="33" s="1"/>
  <c r="J13" i="22"/>
  <c r="I13" i="33" s="1"/>
  <c r="AW26" i="33" s="1"/>
  <c r="J14" i="22"/>
  <c r="I14" i="33" s="1"/>
  <c r="AX26" i="33" s="1"/>
  <c r="J4" i="22"/>
  <c r="I5" i="22"/>
  <c r="H5" i="33" s="1"/>
  <c r="I6" i="22"/>
  <c r="I7" i="22"/>
  <c r="H7" i="33" s="1"/>
  <c r="I8" i="22"/>
  <c r="H8" i="33" s="1"/>
  <c r="I9" i="22"/>
  <c r="H9" i="33" s="1"/>
  <c r="I10" i="22"/>
  <c r="H10" i="33" s="1"/>
  <c r="I11" i="22"/>
  <c r="H11" i="33" s="1"/>
  <c r="I12" i="22"/>
  <c r="H12" i="33" s="1"/>
  <c r="I13" i="22"/>
  <c r="H13" i="33" s="1"/>
  <c r="I14" i="22"/>
  <c r="I4" i="22"/>
  <c r="H4" i="33" s="1"/>
  <c r="H5" i="22"/>
  <c r="G5" i="33" s="1"/>
  <c r="H6" i="22"/>
  <c r="G6" i="33" s="1"/>
  <c r="H7" i="22"/>
  <c r="G7" i="33" s="1"/>
  <c r="H8" i="22"/>
  <c r="G8" i="33" s="1"/>
  <c r="H9" i="22"/>
  <c r="H10" i="22"/>
  <c r="G10" i="33" s="1"/>
  <c r="H11" i="22"/>
  <c r="H12" i="22"/>
  <c r="G12" i="33" s="1"/>
  <c r="H13" i="22"/>
  <c r="G13" i="33" s="1"/>
  <c r="H14" i="22"/>
  <c r="G14" i="33" s="1"/>
  <c r="H4" i="22"/>
  <c r="G4" i="34" s="1"/>
  <c r="G5" i="22"/>
  <c r="F5" i="33" s="1"/>
  <c r="AO23" i="33" s="1"/>
  <c r="G6" i="22"/>
  <c r="G7" i="22"/>
  <c r="F7" i="33" s="1"/>
  <c r="AQ23" i="33" s="1"/>
  <c r="G8" i="22"/>
  <c r="F8" i="33" s="1"/>
  <c r="AR23" i="33" s="1"/>
  <c r="G9" i="22"/>
  <c r="F9" i="33" s="1"/>
  <c r="AS23" i="33" s="1"/>
  <c r="G10" i="22"/>
  <c r="F10" i="33" s="1"/>
  <c r="AT23" i="33" s="1"/>
  <c r="G11" i="22"/>
  <c r="F11" i="33" s="1"/>
  <c r="AU23" i="33" s="1"/>
  <c r="G12" i="22"/>
  <c r="F12" i="33" s="1"/>
  <c r="AV23" i="33" s="1"/>
  <c r="G13" i="22"/>
  <c r="F13" i="33" s="1"/>
  <c r="AW23" i="33" s="1"/>
  <c r="G14" i="22"/>
  <c r="G4" i="22"/>
  <c r="F4" i="33" s="1"/>
  <c r="AN23" i="33" s="1"/>
  <c r="F5" i="22"/>
  <c r="F6" i="22"/>
  <c r="E6" i="33" s="1"/>
  <c r="AP22" i="33" s="1"/>
  <c r="F7" i="22"/>
  <c r="E7" i="33" s="1"/>
  <c r="AQ22" i="33" s="1"/>
  <c r="F8" i="22"/>
  <c r="E8" i="33" s="1"/>
  <c r="F9" i="22"/>
  <c r="E9" i="33" s="1"/>
  <c r="AS22" i="33" s="1"/>
  <c r="F10" i="22"/>
  <c r="E10" i="33" s="1"/>
  <c r="AT22" i="33" s="1"/>
  <c r="F11" i="22"/>
  <c r="F12" i="22"/>
  <c r="E12" i="33" s="1"/>
  <c r="AV22" i="33" s="1"/>
  <c r="F13" i="22"/>
  <c r="F14" i="22"/>
  <c r="E14" i="33" s="1"/>
  <c r="AX22" i="33" s="1"/>
  <c r="F4" i="22"/>
  <c r="E4" i="33" s="1"/>
  <c r="AN22" i="33" s="1"/>
  <c r="E5" i="22"/>
  <c r="D5" i="33" s="1"/>
  <c r="D62" i="33" s="1"/>
  <c r="E6" i="22"/>
  <c r="D6" i="33" s="1"/>
  <c r="D63" i="33" s="1"/>
  <c r="E7" i="22"/>
  <c r="D7" i="33" s="1"/>
  <c r="D64" i="33" s="1"/>
  <c r="E8" i="22"/>
  <c r="E9" i="22"/>
  <c r="D9" i="33" s="1"/>
  <c r="D66" i="33" s="1"/>
  <c r="E10" i="22"/>
  <c r="E11" i="22"/>
  <c r="D11" i="33" s="1"/>
  <c r="D68" i="33" s="1"/>
  <c r="E12" i="22"/>
  <c r="D12" i="33" s="1"/>
  <c r="D69" i="33" s="1"/>
  <c r="E13" i="22"/>
  <c r="D13" i="33" s="1"/>
  <c r="D70" i="33" s="1"/>
  <c r="E14" i="22"/>
  <c r="D14" i="33" s="1"/>
  <c r="D71" i="33" s="1"/>
  <c r="E4" i="22"/>
  <c r="D4" i="33" s="1"/>
  <c r="D61" i="33" s="1"/>
  <c r="B5" i="22"/>
  <c r="B6" i="22"/>
  <c r="B7" i="22"/>
  <c r="B8" i="22"/>
  <c r="B9" i="22"/>
  <c r="B10" i="22"/>
  <c r="B11" i="22"/>
  <c r="B12" i="22"/>
  <c r="B13" i="22"/>
  <c r="B14" i="22"/>
  <c r="B4" i="22"/>
  <c r="D5" i="22"/>
  <c r="D6" i="22"/>
  <c r="C6" i="33" s="1"/>
  <c r="C63" i="33" s="1"/>
  <c r="D7" i="22"/>
  <c r="C7" i="33" s="1"/>
  <c r="C64" i="33" s="1"/>
  <c r="D8" i="22"/>
  <c r="C8" i="33" s="1"/>
  <c r="C65" i="33" s="1"/>
  <c r="D9" i="22"/>
  <c r="C9" i="33" s="1"/>
  <c r="C66" i="33" s="1"/>
  <c r="D10" i="22"/>
  <c r="D11" i="22"/>
  <c r="C11" i="33" s="1"/>
  <c r="C68" i="33" s="1"/>
  <c r="D12" i="22"/>
  <c r="C12" i="33" s="1"/>
  <c r="C69" i="33" s="1"/>
  <c r="D13" i="22"/>
  <c r="C13" i="33" s="1"/>
  <c r="C70" i="33" s="1"/>
  <c r="D14" i="22"/>
  <c r="C14" i="33" s="1"/>
  <c r="C71" i="33" s="1"/>
  <c r="D4" i="22"/>
  <c r="C4" i="33" s="1"/>
  <c r="C61" i="33" s="1"/>
  <c r="C5" i="22"/>
  <c r="B5" i="33" s="1"/>
  <c r="C6" i="22"/>
  <c r="B6" i="33" s="1"/>
  <c r="C7" i="22"/>
  <c r="C8" i="22"/>
  <c r="B8" i="33" s="1"/>
  <c r="C9" i="22"/>
  <c r="C10" i="22"/>
  <c r="B10" i="33" s="1"/>
  <c r="C11" i="22"/>
  <c r="B11" i="33" s="1"/>
  <c r="C12" i="22"/>
  <c r="B12" i="33" s="1"/>
  <c r="C13" i="22"/>
  <c r="B13" i="33" s="1"/>
  <c r="C14" i="22"/>
  <c r="B14" i="33" s="1"/>
  <c r="C4" i="22"/>
  <c r="B4" i="33" s="1"/>
  <c r="C22" i="33"/>
  <c r="F22" i="33"/>
  <c r="G22" i="33"/>
  <c r="H22" i="33"/>
  <c r="I22" i="33"/>
  <c r="K22" i="33"/>
  <c r="L22" i="33"/>
  <c r="B27" i="33"/>
  <c r="C27" i="33"/>
  <c r="D27" i="33"/>
  <c r="E27" i="33"/>
  <c r="F27" i="33"/>
  <c r="G27" i="33"/>
  <c r="H27" i="33"/>
  <c r="I27" i="33"/>
  <c r="K27" i="33"/>
  <c r="L27" i="33"/>
  <c r="B32" i="33"/>
  <c r="C32" i="33"/>
  <c r="D32" i="33"/>
  <c r="E32" i="33"/>
  <c r="F32" i="33"/>
  <c r="G32" i="33"/>
  <c r="H32" i="33"/>
  <c r="I32" i="33"/>
  <c r="J32" i="33"/>
  <c r="K32" i="33"/>
  <c r="L32" i="33"/>
  <c r="T14" i="33"/>
  <c r="AX37" i="33" s="1"/>
  <c r="R14" i="33"/>
  <c r="AX35" i="33" s="1"/>
  <c r="Q14" i="33"/>
  <c r="AX34" i="33" s="1"/>
  <c r="L14" i="33"/>
  <c r="J14" i="33"/>
  <c r="AX27" i="33" s="1"/>
  <c r="H14" i="33"/>
  <c r="F14" i="33"/>
  <c r="AX23" i="33" s="1"/>
  <c r="Q13" i="33"/>
  <c r="AW34" i="33" s="1"/>
  <c r="N13" i="33"/>
  <c r="AW31" i="33" s="1"/>
  <c r="K13" i="33"/>
  <c r="AW28" i="33" s="1"/>
  <c r="J13" i="33"/>
  <c r="AW27" i="33" s="1"/>
  <c r="E13" i="33"/>
  <c r="AW22" i="33" s="1"/>
  <c r="Y11" i="33"/>
  <c r="AU42" i="33" s="1"/>
  <c r="P11" i="33"/>
  <c r="AU33" i="33" s="1"/>
  <c r="O11" i="33"/>
  <c r="AU32" i="33" s="1"/>
  <c r="M11" i="33"/>
  <c r="L11" i="33"/>
  <c r="K11" i="33"/>
  <c r="AU28" i="33" s="1"/>
  <c r="G11" i="33"/>
  <c r="E11" i="33"/>
  <c r="AU22" i="33" s="1"/>
  <c r="R10" i="33"/>
  <c r="AT35" i="33" s="1"/>
  <c r="P10" i="33"/>
  <c r="AT33" i="33" s="1"/>
  <c r="M10" i="33"/>
  <c r="L10" i="33"/>
  <c r="J10" i="33"/>
  <c r="AT27" i="33" s="1"/>
  <c r="D10" i="33"/>
  <c r="D67" i="33" s="1"/>
  <c r="C10" i="33"/>
  <c r="C67" i="33" s="1"/>
  <c r="S9" i="33"/>
  <c r="AS36" i="33" s="1"/>
  <c r="R9" i="33"/>
  <c r="AS35" i="33" s="1"/>
  <c r="M9" i="33"/>
  <c r="K9" i="33"/>
  <c r="AS28" i="33" s="1"/>
  <c r="J9" i="33"/>
  <c r="AS27" i="33" s="1"/>
  <c r="I9" i="33"/>
  <c r="AS26" i="33" s="1"/>
  <c r="G9" i="33"/>
  <c r="B9" i="33"/>
  <c r="O8" i="33"/>
  <c r="AR32" i="33" s="1"/>
  <c r="D8" i="33"/>
  <c r="D65" i="33" s="1"/>
  <c r="O7" i="33"/>
  <c r="AQ32" i="33" s="1"/>
  <c r="L7" i="33"/>
  <c r="K7" i="33"/>
  <c r="AQ28" i="33" s="1"/>
  <c r="I7" i="33"/>
  <c r="AQ26" i="33" s="1"/>
  <c r="B7" i="33"/>
  <c r="X6" i="33"/>
  <c r="AP41" i="33" s="1"/>
  <c r="Q6" i="33"/>
  <c r="AP34" i="33" s="1"/>
  <c r="N6" i="33"/>
  <c r="AP31" i="33" s="1"/>
  <c r="L6" i="33"/>
  <c r="J6" i="33"/>
  <c r="AP27" i="33" s="1"/>
  <c r="H6" i="33"/>
  <c r="F6" i="33"/>
  <c r="AP23" i="33" s="1"/>
  <c r="Q5" i="33"/>
  <c r="AO34" i="33" s="1"/>
  <c r="N5" i="33"/>
  <c r="AO31" i="33" s="1"/>
  <c r="K5" i="33"/>
  <c r="AO28" i="33" s="1"/>
  <c r="J5" i="33"/>
  <c r="AO27" i="33" s="1"/>
  <c r="E5" i="33"/>
  <c r="AO22" i="33" s="1"/>
  <c r="C5" i="33"/>
  <c r="C62" i="33" s="1"/>
  <c r="AE4" i="33"/>
  <c r="AE61" i="33" s="1"/>
  <c r="AA4" i="33"/>
  <c r="AN44" i="33" s="1"/>
  <c r="U4" i="33"/>
  <c r="AN38" i="33" s="1"/>
  <c r="Q4" i="33"/>
  <c r="AN34" i="33" s="1"/>
  <c r="O4" i="33"/>
  <c r="AN32" i="33" s="1"/>
  <c r="L4" i="33"/>
  <c r="K4" i="33"/>
  <c r="AN28" i="33" s="1"/>
  <c r="I4" i="33"/>
  <c r="AN26" i="33" s="1"/>
  <c r="B18" i="2"/>
  <c r="B19" i="2"/>
  <c r="B20" i="2"/>
  <c r="B21" i="2"/>
  <c r="B22" i="2"/>
  <c r="B23" i="2"/>
  <c r="B24" i="2"/>
  <c r="B25" i="2"/>
  <c r="B26" i="2"/>
  <c r="B27" i="2"/>
  <c r="B28" i="2"/>
  <c r="B17" i="2"/>
  <c r="AF14" i="33"/>
  <c r="AF71" i="33" s="1"/>
  <c r="AF14" i="22"/>
  <c r="AE14" i="33" s="1"/>
  <c r="AE71" i="33" s="1"/>
  <c r="AE14" i="22"/>
  <c r="AD14" i="33" s="1"/>
  <c r="AD71" i="33" s="1"/>
  <c r="AB14" i="33"/>
  <c r="AX45" i="33" s="1"/>
  <c r="AA14" i="33"/>
  <c r="Z14" i="33"/>
  <c r="AX43" i="33" s="1"/>
  <c r="X14" i="33"/>
  <c r="AX41" i="33" s="1"/>
  <c r="W14" i="33"/>
  <c r="U14" i="33"/>
  <c r="AX38" i="33" s="1"/>
  <c r="S14" i="33"/>
  <c r="AF13" i="33"/>
  <c r="AF70" i="33" s="1"/>
  <c r="AF13" i="22"/>
  <c r="AE13" i="33" s="1"/>
  <c r="AE70" i="33" s="1"/>
  <c r="AE13" i="22"/>
  <c r="AD13" i="33" s="1"/>
  <c r="AD70" i="33" s="1"/>
  <c r="AB13" i="33"/>
  <c r="AA13" i="33"/>
  <c r="AW44" i="33" s="1"/>
  <c r="Z13" i="33"/>
  <c r="AW43" i="33" s="1"/>
  <c r="W13" i="33"/>
  <c r="AW40" i="33" s="1"/>
  <c r="U13" i="33"/>
  <c r="AW38" i="33" s="1"/>
  <c r="T13" i="33"/>
  <c r="S13" i="33"/>
  <c r="AW36" i="33" s="1"/>
  <c r="AF12" i="22"/>
  <c r="AE12" i="33" s="1"/>
  <c r="AE69" i="33" s="1"/>
  <c r="AE12" i="22"/>
  <c r="AD12" i="33" s="1"/>
  <c r="AD69" i="33" s="1"/>
  <c r="AA12" i="33"/>
  <c r="AV44" i="33" s="1"/>
  <c r="Z12" i="33"/>
  <c r="W12" i="33"/>
  <c r="AV40" i="33" s="1"/>
  <c r="T12" i="33"/>
  <c r="AV37" i="33" s="1"/>
  <c r="AF11" i="33"/>
  <c r="AF68" i="33" s="1"/>
  <c r="AF11" i="22"/>
  <c r="AE11" i="33" s="1"/>
  <c r="AE68" i="33" s="1"/>
  <c r="AE11" i="22"/>
  <c r="AD11" i="33" s="1"/>
  <c r="AD68" i="33" s="1"/>
  <c r="W11" i="33"/>
  <c r="AU40" i="33" s="1"/>
  <c r="V11" i="33"/>
  <c r="AU39" i="33" s="1"/>
  <c r="U11" i="33"/>
  <c r="AU38" i="33" s="1"/>
  <c r="T11" i="33"/>
  <c r="AU37" i="33" s="1"/>
  <c r="S11" i="33"/>
  <c r="AU36" i="33" s="1"/>
  <c r="AG10" i="33"/>
  <c r="AG67" i="33" s="1"/>
  <c r="AF10" i="33"/>
  <c r="AF67" i="33" s="1"/>
  <c r="AF10" i="22"/>
  <c r="AE10" i="33" s="1"/>
  <c r="AE67" i="33" s="1"/>
  <c r="AE10" i="22"/>
  <c r="AD10" i="33" s="1"/>
  <c r="AD67" i="33" s="1"/>
  <c r="AC10" i="33"/>
  <c r="AC67" i="33" s="1"/>
  <c r="AA10" i="33"/>
  <c r="AT44" i="33" s="1"/>
  <c r="Y10" i="33"/>
  <c r="AT42" i="33" s="1"/>
  <c r="V10" i="33"/>
  <c r="U10" i="33"/>
  <c r="AT38" i="33" s="1"/>
  <c r="T10" i="33"/>
  <c r="AT37" i="33" s="1"/>
  <c r="S10" i="33"/>
  <c r="AT36" i="33" s="1"/>
  <c r="AG9" i="33"/>
  <c r="AG66" i="33" s="1"/>
  <c r="AF9" i="22"/>
  <c r="AE9" i="33" s="1"/>
  <c r="AE66" i="33" s="1"/>
  <c r="AE9" i="22"/>
  <c r="AD9" i="33" s="1"/>
  <c r="AD66" i="33" s="1"/>
  <c r="AC9" i="33"/>
  <c r="AC66" i="33" s="1"/>
  <c r="AB9" i="33"/>
  <c r="AS45" i="33" s="1"/>
  <c r="AA9" i="33"/>
  <c r="AS44" i="33" s="1"/>
  <c r="Y9" i="33"/>
  <c r="AS42" i="33" s="1"/>
  <c r="X9" i="33"/>
  <c r="AS41" i="33" s="1"/>
  <c r="U9" i="33"/>
  <c r="AS38" i="33" s="1"/>
  <c r="T9" i="33"/>
  <c r="AS37" i="33" s="1"/>
  <c r="AF8" i="22"/>
  <c r="AE8" i="33" s="1"/>
  <c r="AE65" i="33" s="1"/>
  <c r="AE8" i="22"/>
  <c r="AD8" i="33" s="1"/>
  <c r="AD65" i="33" s="1"/>
  <c r="AA8" i="33"/>
  <c r="AR44" i="33" s="1"/>
  <c r="V8" i="33"/>
  <c r="AR39" i="33" s="1"/>
  <c r="U8" i="33"/>
  <c r="AF7" i="22"/>
  <c r="AE7" i="33" s="1"/>
  <c r="AE64" i="33" s="1"/>
  <c r="AE7" i="22"/>
  <c r="AD7" i="33" s="1"/>
  <c r="AD64" i="33" s="1"/>
  <c r="AA7" i="33"/>
  <c r="AQ44" i="33" s="1"/>
  <c r="Z7" i="33"/>
  <c r="AQ43" i="33" s="1"/>
  <c r="X7" i="33"/>
  <c r="U7" i="33"/>
  <c r="AQ38" i="33" s="1"/>
  <c r="T7" i="33"/>
  <c r="S7" i="33"/>
  <c r="AQ36" i="33" s="1"/>
  <c r="AF6" i="22"/>
  <c r="AE6" i="33" s="1"/>
  <c r="AE63" i="33" s="1"/>
  <c r="AE6" i="22"/>
  <c r="AD6" i="33" s="1"/>
  <c r="AD63" i="33" s="1"/>
  <c r="AB6" i="33"/>
  <c r="AP45" i="33" s="1"/>
  <c r="AA6" i="33"/>
  <c r="AP44" i="33" s="1"/>
  <c r="Z6" i="33"/>
  <c r="AP43" i="33" s="1"/>
  <c r="W6" i="33"/>
  <c r="AP40" i="33" s="1"/>
  <c r="U6" i="33"/>
  <c r="AP38" i="33" s="1"/>
  <c r="T6" i="33"/>
  <c r="AP37" i="33" s="1"/>
  <c r="S6" i="33"/>
  <c r="AP36" i="33" s="1"/>
  <c r="AF5" i="33"/>
  <c r="AF62" i="33" s="1"/>
  <c r="AF5" i="22"/>
  <c r="AE5" i="33" s="1"/>
  <c r="AE62" i="33" s="1"/>
  <c r="AE5" i="22"/>
  <c r="AD5" i="33" s="1"/>
  <c r="AD62" i="33" s="1"/>
  <c r="AA5" i="33"/>
  <c r="AO44" i="33" s="1"/>
  <c r="Z5" i="33"/>
  <c r="Y5" i="33"/>
  <c r="AO42" i="33" s="1"/>
  <c r="X5" i="33"/>
  <c r="AO41" i="33" s="1"/>
  <c r="U5" i="33"/>
  <c r="AO38" i="33" s="1"/>
  <c r="T5" i="33"/>
  <c r="AO37" i="33" s="1"/>
  <c r="S5" i="33"/>
  <c r="AO36" i="33" s="1"/>
  <c r="S4" i="33"/>
  <c r="AN36" i="33" s="1"/>
  <c r="AF28" i="2"/>
  <c r="AC28" i="2"/>
  <c r="Z28" i="2"/>
  <c r="W28" i="2"/>
  <c r="T28" i="2"/>
  <c r="Q28" i="2"/>
  <c r="N28" i="2"/>
  <c r="K28" i="2"/>
  <c r="H28" i="2"/>
  <c r="E28" i="2"/>
  <c r="AF27" i="2"/>
  <c r="AF26" i="2"/>
  <c r="AF25" i="2"/>
  <c r="AF24" i="2"/>
  <c r="AF23" i="2"/>
  <c r="AF22" i="2"/>
  <c r="AF21" i="2"/>
  <c r="AF20" i="2"/>
  <c r="AF19" i="2"/>
  <c r="AF18" i="2"/>
  <c r="AF17" i="2"/>
  <c r="AC27" i="2"/>
  <c r="AC26" i="2"/>
  <c r="AC25" i="2"/>
  <c r="AC24" i="2"/>
  <c r="AC23" i="2"/>
  <c r="AC22" i="2"/>
  <c r="AC21" i="2"/>
  <c r="AC20" i="2"/>
  <c r="AC19" i="2"/>
  <c r="AC18" i="2"/>
  <c r="AC17" i="2"/>
  <c r="Z27" i="2"/>
  <c r="Z26" i="2"/>
  <c r="Z25" i="2"/>
  <c r="Z24" i="2"/>
  <c r="Z23" i="2"/>
  <c r="Z22" i="2"/>
  <c r="Z21" i="2"/>
  <c r="Z20" i="2"/>
  <c r="Z19" i="2"/>
  <c r="Z18" i="2"/>
  <c r="Z17" i="2"/>
  <c r="W27" i="2"/>
  <c r="W26" i="2"/>
  <c r="W25" i="2"/>
  <c r="W24" i="2"/>
  <c r="W23" i="2"/>
  <c r="W22" i="2"/>
  <c r="W21" i="2"/>
  <c r="W20" i="2"/>
  <c r="W19" i="2"/>
  <c r="W18" i="2"/>
  <c r="W17" i="2"/>
  <c r="T27" i="2"/>
  <c r="T26" i="2"/>
  <c r="T25" i="2"/>
  <c r="T24" i="2"/>
  <c r="T23" i="2"/>
  <c r="T22" i="2"/>
  <c r="T21" i="2"/>
  <c r="T20" i="2"/>
  <c r="T19" i="2"/>
  <c r="T18" i="2"/>
  <c r="T17" i="2"/>
  <c r="Q27" i="2"/>
  <c r="Q26" i="2"/>
  <c r="Q25" i="2"/>
  <c r="Q24" i="2"/>
  <c r="Q23" i="2"/>
  <c r="Q22" i="2"/>
  <c r="Q21" i="2"/>
  <c r="Q20" i="2"/>
  <c r="Q19" i="2"/>
  <c r="Q18" i="2"/>
  <c r="Q17" i="2"/>
  <c r="N27" i="2"/>
  <c r="N26" i="2"/>
  <c r="N25" i="2"/>
  <c r="N24" i="2"/>
  <c r="N23" i="2"/>
  <c r="N22" i="2"/>
  <c r="N21" i="2"/>
  <c r="N20" i="2"/>
  <c r="N19" i="2"/>
  <c r="N18" i="2"/>
  <c r="N17" i="2"/>
  <c r="K27" i="2"/>
  <c r="K26" i="2"/>
  <c r="K25" i="2"/>
  <c r="K24" i="2"/>
  <c r="K23" i="2"/>
  <c r="K22" i="2"/>
  <c r="K21" i="2"/>
  <c r="K20" i="2"/>
  <c r="K19" i="2"/>
  <c r="K18" i="2"/>
  <c r="K17" i="2"/>
  <c r="H27" i="2"/>
  <c r="H26" i="2"/>
  <c r="H25" i="2"/>
  <c r="H24" i="2"/>
  <c r="H23" i="2"/>
  <c r="H22" i="2"/>
  <c r="H21" i="2"/>
  <c r="H20" i="2"/>
  <c r="H19" i="2"/>
  <c r="H18" i="2"/>
  <c r="H17" i="2"/>
  <c r="E18" i="2"/>
  <c r="E19" i="2"/>
  <c r="E20" i="2"/>
  <c r="E21" i="2"/>
  <c r="E22" i="2"/>
  <c r="E23" i="2"/>
  <c r="E24" i="2"/>
  <c r="E25" i="2"/>
  <c r="E26" i="2"/>
  <c r="E27" i="2"/>
  <c r="E17" i="2"/>
  <c r="T12" i="35"/>
  <c r="T13" i="35" s="1"/>
  <c r="T14" i="35" s="1"/>
  <c r="T15" i="35" s="1"/>
  <c r="T16" i="35" s="1"/>
  <c r="D18" i="2"/>
  <c r="D19" i="2"/>
  <c r="D20" i="2"/>
  <c r="D21" i="2"/>
  <c r="D22" i="2"/>
  <c r="D23" i="2"/>
  <c r="D24" i="2"/>
  <c r="D25" i="2"/>
  <c r="D26" i="2"/>
  <c r="D27" i="2"/>
  <c r="D28" i="2"/>
  <c r="D17" i="2"/>
  <c r="C17" i="2"/>
  <c r="C18" i="2"/>
  <c r="C19" i="2"/>
  <c r="C20" i="2"/>
  <c r="C21" i="2"/>
  <c r="C22" i="2"/>
  <c r="C23" i="2"/>
  <c r="C24" i="2"/>
  <c r="C25" i="2"/>
  <c r="C26" i="2"/>
  <c r="C27" i="2"/>
  <c r="C28" i="2"/>
  <c r="A4" i="4"/>
  <c r="A20" i="4" s="1"/>
  <c r="A14" i="33"/>
  <c r="A71" i="33" s="1"/>
  <c r="A13" i="33"/>
  <c r="A70" i="33" s="1"/>
  <c r="A12" i="33"/>
  <c r="A69" i="33" s="1"/>
  <c r="A11" i="33"/>
  <c r="A68" i="33" s="1"/>
  <c r="A10" i="33"/>
  <c r="A67" i="33" s="1"/>
  <c r="A9" i="33"/>
  <c r="A66" i="33" s="1"/>
  <c r="A8" i="33"/>
  <c r="A65" i="33" s="1"/>
  <c r="A7" i="33"/>
  <c r="A64" i="33" s="1"/>
  <c r="A6" i="33"/>
  <c r="A63" i="33" s="1"/>
  <c r="A5" i="33"/>
  <c r="A62" i="33" s="1"/>
  <c r="A4" i="33"/>
  <c r="A61" i="33" s="1"/>
  <c r="A14" i="34"/>
  <c r="A13" i="34"/>
  <c r="A12" i="34"/>
  <c r="A11" i="34"/>
  <c r="A10" i="34"/>
  <c r="A9" i="34"/>
  <c r="A8" i="34"/>
  <c r="A7" i="34"/>
  <c r="A6" i="34"/>
  <c r="A5" i="34"/>
  <c r="A4" i="34"/>
  <c r="A14" i="1"/>
  <c r="A13" i="1"/>
  <c r="A12" i="1"/>
  <c r="A11" i="1"/>
  <c r="A10" i="1"/>
  <c r="A9" i="1"/>
  <c r="A8" i="1"/>
  <c r="A7" i="1"/>
  <c r="A6" i="1"/>
  <c r="A5" i="1"/>
  <c r="A4" i="1"/>
  <c r="A14" i="22"/>
  <c r="A13" i="22"/>
  <c r="A12" i="22"/>
  <c r="A11" i="22"/>
  <c r="A10" i="22"/>
  <c r="A9" i="22"/>
  <c r="A8" i="22"/>
  <c r="A7" i="22"/>
  <c r="A6" i="22"/>
  <c r="A5" i="22"/>
  <c r="A4" i="22"/>
  <c r="A14" i="4"/>
  <c r="A30" i="4" s="1"/>
  <c r="A13" i="4"/>
  <c r="A29" i="4" s="1"/>
  <c r="A12" i="4"/>
  <c r="A28" i="4" s="1"/>
  <c r="A11" i="4"/>
  <c r="A27" i="4" s="1"/>
  <c r="A10" i="4"/>
  <c r="A26" i="4" s="1"/>
  <c r="A9" i="4"/>
  <c r="A25" i="4" s="1"/>
  <c r="A8" i="4"/>
  <c r="A24" i="4" s="1"/>
  <c r="A7" i="4"/>
  <c r="A23" i="4" s="1"/>
  <c r="A6" i="4"/>
  <c r="A22" i="4" s="1"/>
  <c r="A5" i="4"/>
  <c r="A21" i="4" s="1"/>
  <c r="A3" i="4"/>
  <c r="A3" i="17"/>
  <c r="A4" i="17"/>
  <c r="A5" i="17"/>
  <c r="A6" i="17"/>
  <c r="A7" i="17"/>
  <c r="A8" i="17"/>
  <c r="A9" i="17"/>
  <c r="A10" i="17"/>
  <c r="A11" i="17"/>
  <c r="A12" i="17"/>
  <c r="A13" i="17"/>
  <c r="A14" i="17"/>
  <c r="A20" i="2" l="1"/>
  <c r="A25" i="2"/>
  <c r="A27" i="2"/>
  <c r="A19" i="2"/>
  <c r="A28" i="2"/>
  <c r="A26" i="2"/>
  <c r="A18" i="2"/>
  <c r="A23" i="2"/>
  <c r="A24" i="2"/>
  <c r="A22" i="2"/>
  <c r="M65" i="33"/>
  <c r="AR30" i="33"/>
  <c r="M64" i="33"/>
  <c r="AQ30" i="33"/>
  <c r="M71" i="33"/>
  <c r="AX30" i="33"/>
  <c r="M70" i="33"/>
  <c r="AW30" i="33"/>
  <c r="H61" i="33"/>
  <c r="AN25" i="33"/>
  <c r="AM25" i="33" s="1"/>
  <c r="H68" i="33"/>
  <c r="AU25" i="33"/>
  <c r="G62" i="33"/>
  <c r="AO24" i="33"/>
  <c r="M62" i="33"/>
  <c r="AO30" i="33"/>
  <c r="G63" i="33"/>
  <c r="AP24" i="33"/>
  <c r="G69" i="33"/>
  <c r="AV24" i="33"/>
  <c r="L70" i="33"/>
  <c r="AW29" i="33"/>
  <c r="M69" i="33"/>
  <c r="AV30" i="33"/>
  <c r="M63" i="33"/>
  <c r="AP30" i="33"/>
  <c r="H64" i="33"/>
  <c r="AQ25" i="33"/>
  <c r="H67" i="33"/>
  <c r="AT25" i="33"/>
  <c r="G66" i="33"/>
  <c r="AS24" i="33"/>
  <c r="G71" i="33"/>
  <c r="AX24" i="33"/>
  <c r="L64" i="33"/>
  <c r="AQ29" i="33"/>
  <c r="L67" i="33"/>
  <c r="AT29" i="33"/>
  <c r="G70" i="33"/>
  <c r="AW24" i="33"/>
  <c r="G4" i="33"/>
  <c r="M67" i="33"/>
  <c r="AT30" i="33"/>
  <c r="L71" i="33"/>
  <c r="AX29" i="33"/>
  <c r="L69" i="33"/>
  <c r="AV29" i="33"/>
  <c r="G67" i="33"/>
  <c r="AT24" i="33"/>
  <c r="H70" i="33"/>
  <c r="AW25" i="33"/>
  <c r="H62" i="33"/>
  <c r="AO25" i="33"/>
  <c r="L66" i="33"/>
  <c r="AS29" i="33"/>
  <c r="L61" i="33"/>
  <c r="AN29" i="33"/>
  <c r="AM29" i="33" s="1"/>
  <c r="L68" i="33"/>
  <c r="AU29" i="33"/>
  <c r="G65" i="33"/>
  <c r="AR24" i="33"/>
  <c r="L62" i="33"/>
  <c r="AO29" i="33"/>
  <c r="A21" i="2"/>
  <c r="M61" i="33"/>
  <c r="AN30" i="33"/>
  <c r="AM30" i="33" s="1"/>
  <c r="H65" i="33"/>
  <c r="AR25" i="33"/>
  <c r="M68" i="33"/>
  <c r="AU30" i="33"/>
  <c r="H71" i="33"/>
  <c r="AX25" i="33"/>
  <c r="G64" i="33"/>
  <c r="AQ24" i="33"/>
  <c r="H66" i="33"/>
  <c r="AS25" i="33"/>
  <c r="H63" i="33"/>
  <c r="AP25" i="33"/>
  <c r="G68" i="33"/>
  <c r="AU24" i="33"/>
  <c r="M66" i="33"/>
  <c r="AS30" i="33"/>
  <c r="L63" i="33"/>
  <c r="AP29" i="33"/>
  <c r="H69" i="33"/>
  <c r="AV25" i="33"/>
  <c r="L65" i="33"/>
  <c r="AR29" i="33"/>
  <c r="B66" i="33"/>
  <c r="AS19" i="33"/>
  <c r="B62" i="33"/>
  <c r="AO19" i="33"/>
  <c r="B64" i="33"/>
  <c r="AQ19" i="33"/>
  <c r="B68" i="33"/>
  <c r="AU19" i="33"/>
  <c r="B70" i="33"/>
  <c r="AW19" i="33"/>
  <c r="B63" i="33"/>
  <c r="AP19" i="33"/>
  <c r="B67" i="33"/>
  <c r="AT19" i="33"/>
  <c r="B69" i="33"/>
  <c r="AV19" i="33"/>
  <c r="B65" i="33"/>
  <c r="AR19" i="33"/>
  <c r="B71" i="33"/>
  <c r="AX19" i="33"/>
  <c r="B61" i="33"/>
  <c r="AN19" i="33"/>
  <c r="AM19" i="33" s="1"/>
  <c r="AT43" i="33"/>
  <c r="Z67" i="33"/>
  <c r="AT39" i="33"/>
  <c r="V67" i="33"/>
  <c r="AO39" i="33"/>
  <c r="V62" i="33"/>
  <c r="AQ41" i="33"/>
  <c r="X64" i="33"/>
  <c r="AR38" i="33"/>
  <c r="U65" i="33"/>
  <c r="AR42" i="33"/>
  <c r="Y65" i="33"/>
  <c r="AX36" i="33"/>
  <c r="S71" i="33"/>
  <c r="AX40" i="33"/>
  <c r="W71" i="33"/>
  <c r="AX44" i="33"/>
  <c r="AA71" i="33"/>
  <c r="AO43" i="33"/>
  <c r="Z62" i="33"/>
  <c r="AQ37" i="33"/>
  <c r="T64" i="33"/>
  <c r="AQ45" i="33"/>
  <c r="AB64" i="33"/>
  <c r="AV39" i="33"/>
  <c r="V69" i="33"/>
  <c r="AV43" i="33"/>
  <c r="Z69" i="33"/>
  <c r="AW37" i="33"/>
  <c r="T70" i="33"/>
  <c r="AW41" i="33"/>
  <c r="X70" i="33"/>
  <c r="AW45" i="33"/>
  <c r="AB70" i="33"/>
  <c r="Y68" i="33"/>
  <c r="E24" i="35"/>
  <c r="M24" i="35"/>
  <c r="U68" i="33"/>
  <c r="X63" i="33"/>
  <c r="J24" i="35"/>
  <c r="AB63" i="33"/>
  <c r="I24" i="35"/>
  <c r="T63" i="33"/>
  <c r="G24" i="35"/>
  <c r="K24" i="35"/>
  <c r="D24" i="35"/>
  <c r="H24" i="35"/>
  <c r="L24" i="35"/>
  <c r="AB66" i="33"/>
  <c r="X66" i="33"/>
  <c r="T66" i="33"/>
  <c r="Q62" i="33"/>
  <c r="Z71" i="33"/>
  <c r="V71" i="33"/>
  <c r="AA70" i="33"/>
  <c r="W70" i="33"/>
  <c r="S70" i="33"/>
  <c r="Y69" i="33"/>
  <c r="U69" i="33"/>
  <c r="AB68" i="33"/>
  <c r="X68" i="33"/>
  <c r="T68" i="33"/>
  <c r="Y67" i="33"/>
  <c r="U67" i="33"/>
  <c r="J67" i="33"/>
  <c r="AA66" i="33"/>
  <c r="W66" i="33"/>
  <c r="S66" i="33"/>
  <c r="AB65" i="33"/>
  <c r="X65" i="33"/>
  <c r="T65" i="33"/>
  <c r="AA64" i="33"/>
  <c r="W64" i="33"/>
  <c r="S64" i="33"/>
  <c r="AA63" i="33"/>
  <c r="W63" i="33"/>
  <c r="S63" i="33"/>
  <c r="Y62" i="33"/>
  <c r="U62" i="33"/>
  <c r="Y71" i="33"/>
  <c r="U71" i="33"/>
  <c r="Z70" i="33"/>
  <c r="V70" i="33"/>
  <c r="O70" i="33"/>
  <c r="AB69" i="33"/>
  <c r="X69" i="33"/>
  <c r="T69" i="33"/>
  <c r="AA68" i="33"/>
  <c r="W68" i="33"/>
  <c r="S68" i="33"/>
  <c r="AB67" i="33"/>
  <c r="X67" i="33"/>
  <c r="T67" i="33"/>
  <c r="Z66" i="33"/>
  <c r="V66" i="33"/>
  <c r="N66" i="33"/>
  <c r="AA65" i="33"/>
  <c r="W65" i="33"/>
  <c r="S65" i="33"/>
  <c r="Z64" i="33"/>
  <c r="V64" i="33"/>
  <c r="R64" i="33"/>
  <c r="Z63" i="33"/>
  <c r="V63" i="33"/>
  <c r="R63" i="33"/>
  <c r="AB62" i="33"/>
  <c r="X62" i="33"/>
  <c r="T62" i="33"/>
  <c r="S61" i="33"/>
  <c r="AB71" i="33"/>
  <c r="X71" i="33"/>
  <c r="T71" i="33"/>
  <c r="Y70" i="33"/>
  <c r="U70" i="33"/>
  <c r="AA69" i="33"/>
  <c r="W69" i="33"/>
  <c r="S69" i="33"/>
  <c r="Z68" i="33"/>
  <c r="V68" i="33"/>
  <c r="O68" i="33"/>
  <c r="AA67" i="33"/>
  <c r="W67" i="33"/>
  <c r="S67" i="33"/>
  <c r="Y66" i="33"/>
  <c r="U66" i="33"/>
  <c r="Z65" i="33"/>
  <c r="V65" i="33"/>
  <c r="Y64" i="33"/>
  <c r="U64" i="33"/>
  <c r="Y63" i="33"/>
  <c r="U63" i="33"/>
  <c r="P63" i="33"/>
  <c r="AA62" i="33"/>
  <c r="W62" i="33"/>
  <c r="S62" i="33"/>
  <c r="AB61" i="33"/>
  <c r="AA61" i="33"/>
  <c r="Z61" i="33"/>
  <c r="Y61" i="33"/>
  <c r="X61" i="33"/>
  <c r="W61" i="33"/>
  <c r="V61" i="33"/>
  <c r="U61" i="33"/>
  <c r="AM38" i="33"/>
  <c r="T61" i="33"/>
  <c r="AR35" i="33"/>
  <c r="R65" i="33"/>
  <c r="R69" i="33"/>
  <c r="R68" i="33"/>
  <c r="R70" i="33"/>
  <c r="R66" i="33"/>
  <c r="R62" i="33"/>
  <c r="R71" i="33"/>
  <c r="R67" i="33"/>
  <c r="R61" i="33"/>
  <c r="AU34" i="33"/>
  <c r="Q68" i="33"/>
  <c r="Q70" i="33"/>
  <c r="Q69" i="33"/>
  <c r="Q67" i="33"/>
  <c r="Q66" i="33"/>
  <c r="Q64" i="33"/>
  <c r="Q71" i="33"/>
  <c r="Q63" i="33"/>
  <c r="Q65" i="33"/>
  <c r="Q61" i="33"/>
  <c r="P69" i="33"/>
  <c r="P71" i="33"/>
  <c r="P64" i="33"/>
  <c r="P70" i="33"/>
  <c r="P66" i="33"/>
  <c r="P65" i="33"/>
  <c r="P68" i="33"/>
  <c r="P67" i="33"/>
  <c r="P62" i="33"/>
  <c r="AM33" i="33"/>
  <c r="P61" i="33"/>
  <c r="AV32" i="33"/>
  <c r="O69" i="33"/>
  <c r="O63" i="33"/>
  <c r="O62" i="33"/>
  <c r="O67" i="33"/>
  <c r="O66" i="33"/>
  <c r="O64" i="33"/>
  <c r="O71" i="33"/>
  <c r="O65" i="33"/>
  <c r="O61" i="33"/>
  <c r="AM32" i="33"/>
  <c r="AR31" i="33"/>
  <c r="N65" i="33"/>
  <c r="AQ31" i="33"/>
  <c r="N64" i="33"/>
  <c r="AV31" i="33"/>
  <c r="N69" i="33"/>
  <c r="AU31" i="33"/>
  <c r="N68" i="33"/>
  <c r="N71" i="33"/>
  <c r="N67" i="33"/>
  <c r="N63" i="33"/>
  <c r="N70" i="33"/>
  <c r="N62" i="33"/>
  <c r="N61" i="33"/>
  <c r="AM31" i="33"/>
  <c r="AR28" i="33"/>
  <c r="K65" i="33"/>
  <c r="AV28" i="33"/>
  <c r="K69" i="33"/>
  <c r="K63" i="33"/>
  <c r="K62" i="33"/>
  <c r="K68" i="33"/>
  <c r="K67" i="33"/>
  <c r="K64" i="33"/>
  <c r="K71" i="33"/>
  <c r="K70" i="33"/>
  <c r="K66" i="33"/>
  <c r="AM28" i="33"/>
  <c r="K61" i="33"/>
  <c r="AV27" i="33"/>
  <c r="J69" i="33"/>
  <c r="AU27" i="33"/>
  <c r="J68" i="33"/>
  <c r="AQ27" i="33"/>
  <c r="J64" i="33"/>
  <c r="AR27" i="33"/>
  <c r="J65" i="33"/>
  <c r="J71" i="33"/>
  <c r="J66" i="33"/>
  <c r="J70" i="33"/>
  <c r="J63" i="33"/>
  <c r="J62" i="33"/>
  <c r="AM27" i="33"/>
  <c r="J61" i="33"/>
  <c r="I67" i="33"/>
  <c r="I65" i="33"/>
  <c r="I62" i="33"/>
  <c r="I71" i="33"/>
  <c r="I69" i="33"/>
  <c r="I64" i="33"/>
  <c r="I70" i="33"/>
  <c r="I68" i="33"/>
  <c r="I66" i="33"/>
  <c r="I63" i="33"/>
  <c r="I61" i="33"/>
  <c r="AM26" i="33"/>
  <c r="F68" i="33"/>
  <c r="F65" i="33"/>
  <c r="F71" i="33"/>
  <c r="F70" i="33"/>
  <c r="F69" i="33"/>
  <c r="F67" i="33"/>
  <c r="F66" i="33"/>
  <c r="F64" i="33"/>
  <c r="F63" i="33"/>
  <c r="F62" i="33"/>
  <c r="F61" i="33"/>
  <c r="AM23" i="33"/>
  <c r="AR22" i="33"/>
  <c r="E65" i="33"/>
  <c r="E69" i="33"/>
  <c r="E68" i="33"/>
  <c r="E62" i="33"/>
  <c r="E67" i="33"/>
  <c r="E64" i="33"/>
  <c r="E70" i="33"/>
  <c r="E66" i="33"/>
  <c r="E63" i="33"/>
  <c r="E61" i="33"/>
  <c r="AM22" i="33"/>
  <c r="E71" i="33"/>
  <c r="F24" i="35"/>
  <c r="A16" i="2"/>
  <c r="D23" i="33"/>
  <c r="C23" i="33"/>
  <c r="L23" i="33"/>
  <c r="E23" i="33"/>
  <c r="L33" i="33"/>
  <c r="D33" i="33"/>
  <c r="J28" i="33"/>
  <c r="H23" i="33"/>
  <c r="K33" i="33"/>
  <c r="G33" i="33"/>
  <c r="C33" i="33"/>
  <c r="I28" i="33"/>
  <c r="E28" i="33"/>
  <c r="K23" i="33"/>
  <c r="G23" i="33"/>
  <c r="J33" i="33"/>
  <c r="F33" i="33"/>
  <c r="B33" i="33"/>
  <c r="L28" i="33"/>
  <c r="H28" i="33"/>
  <c r="D28" i="33"/>
  <c r="J23" i="33"/>
  <c r="F23" i="33"/>
  <c r="H33" i="33"/>
  <c r="F28" i="33"/>
  <c r="B28" i="33"/>
  <c r="I33" i="33"/>
  <c r="E33" i="33"/>
  <c r="K28" i="33"/>
  <c r="G28" i="33"/>
  <c r="C28" i="33"/>
  <c r="I23" i="33"/>
  <c r="AM45" i="33"/>
  <c r="AM37" i="33"/>
  <c r="AM34" i="33"/>
  <c r="AM42" i="33"/>
  <c r="AM41" i="33"/>
  <c r="AM40" i="33"/>
  <c r="AM36" i="33"/>
  <c r="AM44" i="33"/>
  <c r="AM35" i="33"/>
  <c r="AM39" i="33"/>
  <c r="AM43" i="33"/>
  <c r="A17" i="2"/>
  <c r="D5" i="35"/>
  <c r="AE14" i="34"/>
  <c r="AB14" i="34"/>
  <c r="Y14" i="34"/>
  <c r="V14" i="34"/>
  <c r="S14" i="34"/>
  <c r="P14" i="34"/>
  <c r="M14" i="34"/>
  <c r="J14" i="34"/>
  <c r="G14" i="34"/>
  <c r="E14" i="34"/>
  <c r="C14" i="34"/>
  <c r="B14" i="34"/>
  <c r="AE13" i="34"/>
  <c r="AB13" i="34"/>
  <c r="Y13" i="34"/>
  <c r="V13" i="34"/>
  <c r="S13" i="34"/>
  <c r="P13" i="34"/>
  <c r="M13" i="34"/>
  <c r="J13" i="34"/>
  <c r="G13" i="34"/>
  <c r="C13" i="34"/>
  <c r="B13" i="34"/>
  <c r="AE12" i="34"/>
  <c r="AB12" i="34"/>
  <c r="Y12" i="34"/>
  <c r="V12" i="34"/>
  <c r="S12" i="34"/>
  <c r="P12" i="34"/>
  <c r="M12" i="34"/>
  <c r="J12" i="34"/>
  <c r="G12" i="34"/>
  <c r="C12" i="34"/>
  <c r="B12" i="34"/>
  <c r="AE11" i="34"/>
  <c r="AB11" i="34"/>
  <c r="Y11" i="34"/>
  <c r="V11" i="34"/>
  <c r="S11" i="34"/>
  <c r="P11" i="34"/>
  <c r="M11" i="34"/>
  <c r="J11" i="34"/>
  <c r="G11" i="34"/>
  <c r="C11" i="34"/>
  <c r="B11" i="34"/>
  <c r="AE10" i="34"/>
  <c r="AB10" i="34"/>
  <c r="Y10" i="34"/>
  <c r="V10" i="34"/>
  <c r="S10" i="34"/>
  <c r="P10" i="34"/>
  <c r="M10" i="34"/>
  <c r="J10" i="34"/>
  <c r="G10" i="34"/>
  <c r="C10" i="34"/>
  <c r="B10" i="34"/>
  <c r="AE9" i="34"/>
  <c r="AB9" i="34"/>
  <c r="Y9" i="34"/>
  <c r="V9" i="34"/>
  <c r="S9" i="34"/>
  <c r="P9" i="34"/>
  <c r="M9" i="34"/>
  <c r="J9" i="34"/>
  <c r="G9" i="34"/>
  <c r="C9" i="34"/>
  <c r="B9" i="34"/>
  <c r="AE8" i="34"/>
  <c r="AB8" i="34"/>
  <c r="Y8" i="34"/>
  <c r="V8" i="34"/>
  <c r="S8" i="34"/>
  <c r="P8" i="34"/>
  <c r="M8" i="34"/>
  <c r="J8" i="34"/>
  <c r="G8" i="34"/>
  <c r="C8" i="34"/>
  <c r="B8" i="34"/>
  <c r="AE7" i="34"/>
  <c r="AB7" i="34"/>
  <c r="Y7" i="34"/>
  <c r="V7" i="34"/>
  <c r="S7" i="34"/>
  <c r="P7" i="34"/>
  <c r="M7" i="34"/>
  <c r="J7" i="34"/>
  <c r="G7" i="34"/>
  <c r="C7" i="34"/>
  <c r="B7" i="34"/>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Q8" i="17"/>
  <c r="Q24" i="4" s="1"/>
  <c r="Q12" i="17"/>
  <c r="Q28" i="4" s="1"/>
  <c r="Q13" i="17"/>
  <c r="Q29" i="4" s="1"/>
  <c r="O5" i="17"/>
  <c r="O21" i="4" s="1"/>
  <c r="O6" i="17"/>
  <c r="O22" i="4" s="1"/>
  <c r="O7" i="17"/>
  <c r="O23" i="4" s="1"/>
  <c r="O8" i="17"/>
  <c r="O24" i="4" s="1"/>
  <c r="O9" i="17"/>
  <c r="O25" i="4" s="1"/>
  <c r="O10" i="17"/>
  <c r="O26" i="4" s="1"/>
  <c r="O11" i="17"/>
  <c r="O27" i="4" s="1"/>
  <c r="O12" i="17"/>
  <c r="O28" i="4" s="1"/>
  <c r="O13" i="17"/>
  <c r="O29" i="4" s="1"/>
  <c r="O14" i="17"/>
  <c r="O30" i="4" s="1"/>
  <c r="O4" i="17"/>
  <c r="O20" i="4" s="1"/>
  <c r="R5" i="17"/>
  <c r="R21" i="4" s="1"/>
  <c r="R6" i="17"/>
  <c r="R22" i="4" s="1"/>
  <c r="R7" i="17"/>
  <c r="R23" i="4" s="1"/>
  <c r="R8" i="17"/>
  <c r="R24" i="4" s="1"/>
  <c r="R9" i="17"/>
  <c r="R25" i="4" s="1"/>
  <c r="R10" i="17"/>
  <c r="R26" i="4" s="1"/>
  <c r="R11" i="17"/>
  <c r="R27" i="4" s="1"/>
  <c r="R12" i="17"/>
  <c r="R28" i="4" s="1"/>
  <c r="R13" i="17"/>
  <c r="R29" i="4" s="1"/>
  <c r="R14" i="17"/>
  <c r="R30" i="4" s="1"/>
  <c r="R4" i="17"/>
  <c r="R20" i="4" s="1"/>
  <c r="AH5" i="17"/>
  <c r="AH21" i="4" s="1"/>
  <c r="AH6" i="17"/>
  <c r="AH22" i="4" s="1"/>
  <c r="AH7" i="17"/>
  <c r="AH23" i="4" s="1"/>
  <c r="AH8" i="17"/>
  <c r="AH24" i="4" s="1"/>
  <c r="AH9" i="17"/>
  <c r="AH25" i="4" s="1"/>
  <c r="AH10" i="17"/>
  <c r="AH26" i="4" s="1"/>
  <c r="AH11" i="17"/>
  <c r="AH27" i="4" s="1"/>
  <c r="AH12" i="17"/>
  <c r="AH28" i="4" s="1"/>
  <c r="AH13" i="17"/>
  <c r="AH29" i="4" s="1"/>
  <c r="AH14" i="17"/>
  <c r="AH30" i="4" s="1"/>
  <c r="AH4" i="17"/>
  <c r="AH20" i="4" s="1"/>
  <c r="AG5" i="17"/>
  <c r="AG21" i="4" s="1"/>
  <c r="AG6" i="17"/>
  <c r="AG22" i="4" s="1"/>
  <c r="AG7" i="17"/>
  <c r="AG23" i="4" s="1"/>
  <c r="AG8" i="17"/>
  <c r="AG24" i="4" s="1"/>
  <c r="AG9" i="17"/>
  <c r="AG25" i="4" s="1"/>
  <c r="AG10" i="17"/>
  <c r="AG26" i="4" s="1"/>
  <c r="AG11" i="17"/>
  <c r="AG27" i="4" s="1"/>
  <c r="AG12" i="17"/>
  <c r="AG28" i="4" s="1"/>
  <c r="AG13" i="17"/>
  <c r="AG29" i="4" s="1"/>
  <c r="AG14" i="17"/>
  <c r="AG30" i="4" s="1"/>
  <c r="AG4" i="17"/>
  <c r="AG20" i="4" s="1"/>
  <c r="AE5" i="17"/>
  <c r="AE21" i="4" s="1"/>
  <c r="AE6" i="17"/>
  <c r="AE22" i="4" s="1"/>
  <c r="AE7" i="17"/>
  <c r="AE23" i="4" s="1"/>
  <c r="AE8" i="17"/>
  <c r="AE24" i="4" s="1"/>
  <c r="AE9" i="17"/>
  <c r="AE25" i="4" s="1"/>
  <c r="AE10" i="17"/>
  <c r="AE26" i="4" s="1"/>
  <c r="AE11" i="17"/>
  <c r="AE27" i="4" s="1"/>
  <c r="AE12" i="17"/>
  <c r="AE28" i="4" s="1"/>
  <c r="AE13" i="17"/>
  <c r="AE29" i="4" s="1"/>
  <c r="AE14" i="17"/>
  <c r="AE30" i="4" s="1"/>
  <c r="AE4" i="17"/>
  <c r="AE20" i="4" s="1"/>
  <c r="AD5" i="17"/>
  <c r="AD21" i="4" s="1"/>
  <c r="AD6" i="17"/>
  <c r="AD22" i="4" s="1"/>
  <c r="AD7" i="17"/>
  <c r="AD23" i="4" s="1"/>
  <c r="AD8" i="17"/>
  <c r="AD24" i="4" s="1"/>
  <c r="AD9" i="17"/>
  <c r="AD25" i="4" s="1"/>
  <c r="AD10" i="17"/>
  <c r="AD26" i="4" s="1"/>
  <c r="AD11" i="17"/>
  <c r="AD27" i="4" s="1"/>
  <c r="AD12" i="17"/>
  <c r="AD28" i="4" s="1"/>
  <c r="AD13" i="17"/>
  <c r="AD29" i="4" s="1"/>
  <c r="AD14" i="17"/>
  <c r="AD30" i="4" s="1"/>
  <c r="AD4" i="17"/>
  <c r="AD20" i="4" s="1"/>
  <c r="AC13" i="17"/>
  <c r="AC29" i="4" s="1"/>
  <c r="AB5" i="17"/>
  <c r="AB21" i="4" s="1"/>
  <c r="AB6" i="17"/>
  <c r="AB22" i="4" s="1"/>
  <c r="AB7" i="17"/>
  <c r="AB23" i="4" s="1"/>
  <c r="AB8" i="17"/>
  <c r="AB24" i="4" s="1"/>
  <c r="AB9" i="17"/>
  <c r="AB25" i="4" s="1"/>
  <c r="AB10" i="17"/>
  <c r="AB26" i="4" s="1"/>
  <c r="AB11" i="17"/>
  <c r="AB27" i="4" s="1"/>
  <c r="AB12" i="17"/>
  <c r="AB28" i="4" s="1"/>
  <c r="AB13" i="17"/>
  <c r="AB29" i="4" s="1"/>
  <c r="AB14" i="17"/>
  <c r="AB30" i="4" s="1"/>
  <c r="AB4" i="17"/>
  <c r="AB20" i="4" s="1"/>
  <c r="AA5" i="17"/>
  <c r="AA21" i="4" s="1"/>
  <c r="AA6" i="17"/>
  <c r="AA22" i="4" s="1"/>
  <c r="AA7" i="17"/>
  <c r="AA23" i="4" s="1"/>
  <c r="AA8" i="17"/>
  <c r="AA24" i="4" s="1"/>
  <c r="AA9" i="17"/>
  <c r="AA25" i="4" s="1"/>
  <c r="AA10" i="17"/>
  <c r="AA26" i="4" s="1"/>
  <c r="AA11" i="17"/>
  <c r="AA27" i="4" s="1"/>
  <c r="AA12" i="17"/>
  <c r="AA28" i="4" s="1"/>
  <c r="AA13" i="17"/>
  <c r="AA29" i="4" s="1"/>
  <c r="AA14" i="17"/>
  <c r="AA30" i="4" s="1"/>
  <c r="AA4" i="17"/>
  <c r="AA20" i="4" s="1"/>
  <c r="Z8" i="17"/>
  <c r="Z24" i="4" s="1"/>
  <c r="Z12" i="17"/>
  <c r="Z28" i="4" s="1"/>
  <c r="Y5" i="17"/>
  <c r="Y21" i="4" s="1"/>
  <c r="Y6" i="17"/>
  <c r="Y22" i="4" s="1"/>
  <c r="Y7" i="17"/>
  <c r="Y23" i="4" s="1"/>
  <c r="Y8" i="17"/>
  <c r="Y24" i="4" s="1"/>
  <c r="Y9" i="17"/>
  <c r="Y25" i="4" s="1"/>
  <c r="Y10" i="17"/>
  <c r="Y26" i="4" s="1"/>
  <c r="Y11" i="17"/>
  <c r="Y27" i="4" s="1"/>
  <c r="Y12" i="17"/>
  <c r="Y28" i="4" s="1"/>
  <c r="Y13" i="17"/>
  <c r="Y29" i="4" s="1"/>
  <c r="Y14" i="17"/>
  <c r="Y30" i="4" s="1"/>
  <c r="Y4" i="17"/>
  <c r="Y20" i="4" s="1"/>
  <c r="X5" i="17"/>
  <c r="X21" i="4" s="1"/>
  <c r="X6" i="17"/>
  <c r="X22" i="4" s="1"/>
  <c r="X7" i="17"/>
  <c r="X23" i="4" s="1"/>
  <c r="X8" i="17"/>
  <c r="X24" i="4" s="1"/>
  <c r="X9" i="17"/>
  <c r="X25" i="4" s="1"/>
  <c r="X10" i="17"/>
  <c r="X26" i="4" s="1"/>
  <c r="X11" i="17"/>
  <c r="X27" i="4" s="1"/>
  <c r="X12" i="17"/>
  <c r="X28" i="4" s="1"/>
  <c r="X13" i="17"/>
  <c r="X29" i="4" s="1"/>
  <c r="X14" i="17"/>
  <c r="X30" i="4" s="1"/>
  <c r="X4" i="17"/>
  <c r="X20" i="4" s="1"/>
  <c r="W7" i="17"/>
  <c r="W23" i="4" s="1"/>
  <c r="W11" i="17"/>
  <c r="W27" i="4" s="1"/>
  <c r="W13" i="17"/>
  <c r="W29" i="4" s="1"/>
  <c r="W4" i="17"/>
  <c r="W20" i="4" s="1"/>
  <c r="V21" i="4"/>
  <c r="V22" i="4"/>
  <c r="V23" i="4"/>
  <c r="V24" i="4"/>
  <c r="V25" i="4"/>
  <c r="V26" i="4"/>
  <c r="V27" i="4"/>
  <c r="V28" i="4"/>
  <c r="V29" i="4"/>
  <c r="V30" i="4"/>
  <c r="V20" i="4"/>
  <c r="U21" i="4"/>
  <c r="U22" i="4"/>
  <c r="U23" i="4"/>
  <c r="U24" i="4"/>
  <c r="U25" i="4"/>
  <c r="U26" i="4"/>
  <c r="U27" i="4"/>
  <c r="U28" i="4"/>
  <c r="U29" i="4"/>
  <c r="U30" i="4"/>
  <c r="U20" i="4"/>
  <c r="T23" i="4"/>
  <c r="T20" i="4"/>
  <c r="S5" i="17"/>
  <c r="S21" i="4" s="1"/>
  <c r="S6" i="17"/>
  <c r="S22" i="4" s="1"/>
  <c r="S7" i="17"/>
  <c r="S23" i="4" s="1"/>
  <c r="S8" i="17"/>
  <c r="S24" i="4" s="1"/>
  <c r="S9" i="17"/>
  <c r="S25" i="4" s="1"/>
  <c r="S10" i="17"/>
  <c r="S26" i="4" s="1"/>
  <c r="S11" i="17"/>
  <c r="S27" i="4" s="1"/>
  <c r="S12" i="17"/>
  <c r="S28" i="4" s="1"/>
  <c r="S13" i="17"/>
  <c r="S29" i="4" s="1"/>
  <c r="S14" i="17"/>
  <c r="S30" i="4" s="1"/>
  <c r="S4" i="17"/>
  <c r="S20" i="4" s="1"/>
  <c r="P5" i="17"/>
  <c r="P21" i="4" s="1"/>
  <c r="P6" i="17"/>
  <c r="P22" i="4" s="1"/>
  <c r="P7" i="17"/>
  <c r="P23" i="4" s="1"/>
  <c r="P8" i="17"/>
  <c r="P24" i="4" s="1"/>
  <c r="P9" i="17"/>
  <c r="P25" i="4" s="1"/>
  <c r="P10" i="17"/>
  <c r="P26" i="4" s="1"/>
  <c r="P11" i="17"/>
  <c r="P27" i="4" s="1"/>
  <c r="P12" i="17"/>
  <c r="P28" i="4" s="1"/>
  <c r="P13" i="17"/>
  <c r="P29" i="4" s="1"/>
  <c r="P14" i="17"/>
  <c r="P30" i="4" s="1"/>
  <c r="P4" i="17"/>
  <c r="P20" i="4" s="1"/>
  <c r="N5" i="17"/>
  <c r="N21" i="4" s="1"/>
  <c r="I5" i="17"/>
  <c r="I21" i="4" s="1"/>
  <c r="J5" i="17"/>
  <c r="J21" i="4" s="1"/>
  <c r="I6" i="17"/>
  <c r="I22" i="4" s="1"/>
  <c r="J6" i="17"/>
  <c r="J22" i="4" s="1"/>
  <c r="I7" i="17"/>
  <c r="I23" i="4" s="1"/>
  <c r="J7" i="17"/>
  <c r="J23" i="4" s="1"/>
  <c r="I8" i="17"/>
  <c r="I24" i="4" s="1"/>
  <c r="J8" i="17"/>
  <c r="J24" i="4" s="1"/>
  <c r="I9" i="17"/>
  <c r="I25" i="4" s="1"/>
  <c r="J9" i="17"/>
  <c r="J25" i="4" s="1"/>
  <c r="I10" i="17"/>
  <c r="I26" i="4" s="1"/>
  <c r="J10" i="17"/>
  <c r="J26" i="4" s="1"/>
  <c r="I11" i="17"/>
  <c r="I27" i="4" s="1"/>
  <c r="J11" i="17"/>
  <c r="J27" i="4" s="1"/>
  <c r="I12" i="17"/>
  <c r="I28" i="4" s="1"/>
  <c r="J12" i="17"/>
  <c r="J28" i="4" s="1"/>
  <c r="I13" i="17"/>
  <c r="I29" i="4" s="1"/>
  <c r="J13" i="17"/>
  <c r="J29" i="4" s="1"/>
  <c r="I14" i="17"/>
  <c r="I30" i="4" s="1"/>
  <c r="J14" i="17"/>
  <c r="J30" i="4" s="1"/>
  <c r="J4" i="17"/>
  <c r="J20" i="4" s="1"/>
  <c r="I4" i="17"/>
  <c r="I20" i="4" s="1"/>
  <c r="L21" i="4"/>
  <c r="M21" i="4"/>
  <c r="L22" i="4"/>
  <c r="M22" i="4"/>
  <c r="L23" i="4"/>
  <c r="M23" i="4"/>
  <c r="L24" i="4"/>
  <c r="M24" i="4"/>
  <c r="L25" i="4"/>
  <c r="M25" i="4"/>
  <c r="L26" i="4"/>
  <c r="M26" i="4"/>
  <c r="L27" i="4"/>
  <c r="M27" i="4"/>
  <c r="L28" i="4"/>
  <c r="M28" i="4"/>
  <c r="L29" i="4"/>
  <c r="M29" i="4"/>
  <c r="L30" i="4"/>
  <c r="M30" i="4"/>
  <c r="L20" i="4"/>
  <c r="M20" i="4"/>
  <c r="K21" i="4"/>
  <c r="K29" i="4"/>
  <c r="H6" i="17"/>
  <c r="H22" i="4" s="1"/>
  <c r="H14" i="17"/>
  <c r="H30" i="4" s="1"/>
  <c r="G5" i="17"/>
  <c r="G21" i="4" s="1"/>
  <c r="G6" i="17"/>
  <c r="G22" i="4" s="1"/>
  <c r="G7" i="17"/>
  <c r="G23" i="4" s="1"/>
  <c r="G8" i="17"/>
  <c r="G24" i="4" s="1"/>
  <c r="G9" i="17"/>
  <c r="G25" i="4" s="1"/>
  <c r="G10" i="17"/>
  <c r="G26" i="4" s="1"/>
  <c r="G11" i="17"/>
  <c r="G27" i="4" s="1"/>
  <c r="G12" i="17"/>
  <c r="G28" i="4" s="1"/>
  <c r="G13" i="17"/>
  <c r="G29" i="4" s="1"/>
  <c r="G14" i="17"/>
  <c r="G30" i="4" s="1"/>
  <c r="G4" i="17"/>
  <c r="G20" i="4" s="1"/>
  <c r="F5" i="17"/>
  <c r="F21" i="4" s="1"/>
  <c r="F6" i="17"/>
  <c r="F22" i="4" s="1"/>
  <c r="F7" i="17"/>
  <c r="F23" i="4" s="1"/>
  <c r="F8" i="17"/>
  <c r="F24" i="4" s="1"/>
  <c r="F9" i="17"/>
  <c r="F25" i="4" s="1"/>
  <c r="F10" i="17"/>
  <c r="F26" i="4" s="1"/>
  <c r="F11" i="17"/>
  <c r="F27" i="4" s="1"/>
  <c r="F12" i="17"/>
  <c r="F28" i="4" s="1"/>
  <c r="F13" i="17"/>
  <c r="F29" i="4" s="1"/>
  <c r="F14" i="17"/>
  <c r="F30" i="4" s="1"/>
  <c r="F4" i="17"/>
  <c r="F20" i="4" s="1"/>
  <c r="E5" i="17"/>
  <c r="E21" i="4" s="1"/>
  <c r="E6" i="17"/>
  <c r="E22" i="4" s="1"/>
  <c r="E7" i="17"/>
  <c r="E23" i="4" s="1"/>
  <c r="E8" i="17"/>
  <c r="E24" i="4" s="1"/>
  <c r="E9" i="17"/>
  <c r="E25" i="4" s="1"/>
  <c r="E10" i="17"/>
  <c r="E26" i="4" s="1"/>
  <c r="E11" i="17"/>
  <c r="E27" i="4" s="1"/>
  <c r="E12" i="17"/>
  <c r="E28" i="4" s="1"/>
  <c r="E13" i="17"/>
  <c r="E29" i="4" s="1"/>
  <c r="E14" i="17"/>
  <c r="E30" i="4" s="1"/>
  <c r="E4" i="17"/>
  <c r="E20" i="4" s="1"/>
  <c r="AC5" i="17"/>
  <c r="AC21" i="4" s="1"/>
  <c r="AC9" i="17"/>
  <c r="AC25" i="4" s="1"/>
  <c r="Z11" i="17"/>
  <c r="Z27" i="4" s="1"/>
  <c r="Z14" i="17"/>
  <c r="Z30" i="4" s="1"/>
  <c r="W5" i="17"/>
  <c r="W21" i="4" s="1"/>
  <c r="W6" i="17"/>
  <c r="W22" i="4" s="1"/>
  <c r="W9" i="17"/>
  <c r="W25" i="4" s="1"/>
  <c r="W10" i="17"/>
  <c r="W26" i="4" s="1"/>
  <c r="W14" i="17"/>
  <c r="W30" i="4" s="1"/>
  <c r="T22" i="4"/>
  <c r="T24" i="4"/>
  <c r="T26" i="4"/>
  <c r="T27" i="4"/>
  <c r="T28" i="4"/>
  <c r="T30" i="4"/>
  <c r="Q5" i="17"/>
  <c r="Q21" i="4" s="1"/>
  <c r="Q7" i="17"/>
  <c r="Q23" i="4" s="1"/>
  <c r="Q9" i="17"/>
  <c r="Q25" i="4" s="1"/>
  <c r="Q11" i="17"/>
  <c r="Q27" i="4" s="1"/>
  <c r="Q4" i="17"/>
  <c r="Q20" i="4" s="1"/>
  <c r="N7" i="17"/>
  <c r="N23" i="4" s="1"/>
  <c r="N8" i="17"/>
  <c r="N24" i="4" s="1"/>
  <c r="N9" i="17"/>
  <c r="N25" i="4" s="1"/>
  <c r="N11" i="17"/>
  <c r="N27" i="4" s="1"/>
  <c r="N12" i="17"/>
  <c r="N28" i="4" s="1"/>
  <c r="N13" i="17"/>
  <c r="N29" i="4" s="1"/>
  <c r="N4" i="17"/>
  <c r="N20" i="4" s="1"/>
  <c r="K23" i="4"/>
  <c r="K24" i="4"/>
  <c r="K25" i="4"/>
  <c r="K27" i="4"/>
  <c r="K28" i="4"/>
  <c r="K20" i="4"/>
  <c r="H7" i="17"/>
  <c r="H23" i="4" s="1"/>
  <c r="H9" i="17"/>
  <c r="H25" i="4" s="1"/>
  <c r="H10" i="17"/>
  <c r="H26" i="4" s="1"/>
  <c r="H11" i="17"/>
  <c r="H27" i="4" s="1"/>
  <c r="H4" i="17"/>
  <c r="H20" i="4" s="1"/>
  <c r="C14" i="17"/>
  <c r="C30" i="4" s="1"/>
  <c r="G61" i="33" l="1"/>
  <c r="AN24" i="33"/>
  <c r="AM24" i="33" s="1"/>
  <c r="AV20" i="33"/>
  <c r="AS20" i="33"/>
  <c r="AR20" i="33"/>
  <c r="AW20" i="33"/>
  <c r="AU20" i="33"/>
  <c r="AQ20" i="33"/>
  <c r="AX20" i="33"/>
  <c r="AT20" i="33"/>
  <c r="F7" i="34"/>
  <c r="N7" i="34"/>
  <c r="R7" i="34"/>
  <c r="Z7" i="34"/>
  <c r="AD7" i="34"/>
  <c r="AQ47" i="33"/>
  <c r="F8" i="34"/>
  <c r="N8" i="34"/>
  <c r="R8" i="34"/>
  <c r="Z8" i="34"/>
  <c r="AD8" i="34"/>
  <c r="AR47" i="33"/>
  <c r="F9" i="34"/>
  <c r="N9" i="34"/>
  <c r="R9" i="34"/>
  <c r="Z9" i="34"/>
  <c r="AS47" i="33"/>
  <c r="AD9" i="34"/>
  <c r="F10" i="34"/>
  <c r="N10" i="34"/>
  <c r="R10" i="34"/>
  <c r="Z10" i="34"/>
  <c r="AT47" i="33"/>
  <c r="AD10" i="34"/>
  <c r="F11" i="34"/>
  <c r="N11" i="34"/>
  <c r="R11" i="34"/>
  <c r="Z11" i="34"/>
  <c r="AD11" i="34"/>
  <c r="AU47" i="33"/>
  <c r="F12" i="34"/>
  <c r="N12" i="34"/>
  <c r="R12" i="34"/>
  <c r="Z12" i="34"/>
  <c r="AD12" i="34"/>
  <c r="AV47" i="33"/>
  <c r="F13" i="34"/>
  <c r="N13" i="34"/>
  <c r="R13" i="34"/>
  <c r="Z13" i="34"/>
  <c r="AD13" i="34"/>
  <c r="AW47" i="33"/>
  <c r="F14" i="34"/>
  <c r="N14" i="34"/>
  <c r="R14" i="34"/>
  <c r="Z14" i="34"/>
  <c r="AD14" i="34"/>
  <c r="AX47" i="33"/>
  <c r="K7" i="34"/>
  <c r="O7" i="34"/>
  <c r="W7" i="34"/>
  <c r="AA7" i="34"/>
  <c r="K8" i="34"/>
  <c r="O8" i="34"/>
  <c r="W8" i="34"/>
  <c r="AA8" i="34"/>
  <c r="K9" i="34"/>
  <c r="O9" i="34"/>
  <c r="W9" i="34"/>
  <c r="AA9" i="34"/>
  <c r="K10" i="34"/>
  <c r="O10" i="34"/>
  <c r="W10" i="34"/>
  <c r="AA10" i="34"/>
  <c r="K11" i="34"/>
  <c r="O11" i="34"/>
  <c r="W11" i="34"/>
  <c r="AA11" i="34"/>
  <c r="K12" i="34"/>
  <c r="O12" i="34"/>
  <c r="W12" i="34"/>
  <c r="AA12" i="34"/>
  <c r="K13" i="34"/>
  <c r="O13" i="34"/>
  <c r="W13" i="34"/>
  <c r="AA13" i="34"/>
  <c r="K14" i="34"/>
  <c r="O14" i="34"/>
  <c r="W14" i="34"/>
  <c r="AA14" i="34"/>
  <c r="AQ21" i="33"/>
  <c r="D7" i="34"/>
  <c r="H7" i="34"/>
  <c r="L7" i="34"/>
  <c r="T7" i="34"/>
  <c r="X7" i="34"/>
  <c r="AF7" i="34"/>
  <c r="AQ49" i="33"/>
  <c r="D8" i="34"/>
  <c r="AR21" i="33"/>
  <c r="H8" i="34"/>
  <c r="L8" i="34"/>
  <c r="T8" i="34"/>
  <c r="X8" i="34"/>
  <c r="AF8" i="34"/>
  <c r="AR49" i="33"/>
  <c r="D9" i="34"/>
  <c r="AS21" i="33"/>
  <c r="H9" i="34"/>
  <c r="L9" i="34"/>
  <c r="T9" i="34"/>
  <c r="X9" i="34"/>
  <c r="AF9" i="34"/>
  <c r="AS49" i="33"/>
  <c r="D10" i="34"/>
  <c r="AT21" i="33"/>
  <c r="H10" i="34"/>
  <c r="L10" i="34"/>
  <c r="T10" i="34"/>
  <c r="X10" i="34"/>
  <c r="AF10" i="34"/>
  <c r="AT49" i="33"/>
  <c r="AU21" i="33"/>
  <c r="D11" i="34"/>
  <c r="H11" i="34"/>
  <c r="L11" i="34"/>
  <c r="T11" i="34"/>
  <c r="X11" i="34"/>
  <c r="AF11" i="34"/>
  <c r="AU49" i="33"/>
  <c r="D12" i="34"/>
  <c r="AV21" i="33"/>
  <c r="H12" i="34"/>
  <c r="L12" i="34"/>
  <c r="T12" i="34"/>
  <c r="X12" i="34"/>
  <c r="AF12" i="34"/>
  <c r="AV49" i="33"/>
  <c r="D13" i="34"/>
  <c r="AW21" i="33"/>
  <c r="H13" i="34"/>
  <c r="L13" i="34"/>
  <c r="T13" i="34"/>
  <c r="X13" i="34"/>
  <c r="AF13" i="34"/>
  <c r="AW49" i="33"/>
  <c r="AX21" i="33"/>
  <c r="D14" i="34"/>
  <c r="H14" i="34"/>
  <c r="L14" i="34"/>
  <c r="T14" i="34"/>
  <c r="X14" i="34"/>
  <c r="AF14" i="34"/>
  <c r="AX49" i="33"/>
  <c r="E7" i="34"/>
  <c r="I7" i="34"/>
  <c r="Q7" i="34"/>
  <c r="U7" i="34"/>
  <c r="AC7" i="34"/>
  <c r="AQ46" i="33"/>
  <c r="AG7" i="34"/>
  <c r="AQ50" i="33"/>
  <c r="E8" i="34"/>
  <c r="I8" i="34"/>
  <c r="Q8" i="34"/>
  <c r="U8" i="34"/>
  <c r="AC8" i="34"/>
  <c r="AR46" i="33"/>
  <c r="AG8" i="34"/>
  <c r="AR50" i="33"/>
  <c r="E9" i="34"/>
  <c r="I9" i="34"/>
  <c r="Q9" i="34"/>
  <c r="U9" i="34"/>
  <c r="AC9" i="34"/>
  <c r="AS46" i="33"/>
  <c r="AG9" i="34"/>
  <c r="AS50" i="33"/>
  <c r="E10" i="34"/>
  <c r="I10" i="34"/>
  <c r="Q10" i="34"/>
  <c r="U10" i="34"/>
  <c r="AC10" i="34"/>
  <c r="AT46" i="33"/>
  <c r="AT50" i="33"/>
  <c r="AG10" i="34"/>
  <c r="E11" i="34"/>
  <c r="I11" i="34"/>
  <c r="Q11" i="34"/>
  <c r="U11" i="34"/>
  <c r="AU46" i="33"/>
  <c r="AC11" i="34"/>
  <c r="AU50" i="33"/>
  <c r="AG11" i="34"/>
  <c r="E12" i="34"/>
  <c r="I12" i="34"/>
  <c r="Q12" i="34"/>
  <c r="U12" i="34"/>
  <c r="AC12" i="34"/>
  <c r="AV46" i="33"/>
  <c r="AG12" i="34"/>
  <c r="AV50" i="33"/>
  <c r="E13" i="34"/>
  <c r="I13" i="34"/>
  <c r="Q13" i="34"/>
  <c r="U13" i="34"/>
  <c r="AC13" i="34"/>
  <c r="AW46" i="33"/>
  <c r="AG13" i="34"/>
  <c r="AW50" i="33"/>
  <c r="I14" i="34"/>
  <c r="Q14" i="34"/>
  <c r="U14" i="34"/>
  <c r="AX46" i="33"/>
  <c r="AC14" i="34"/>
  <c r="AG14" i="34"/>
  <c r="AX50" i="33"/>
  <c r="AR48" i="33"/>
  <c r="AU48" i="33"/>
  <c r="AF11" i="17"/>
  <c r="AF27" i="4" s="1"/>
  <c r="AX48" i="33"/>
  <c r="AT48" i="33"/>
  <c r="AF14" i="17"/>
  <c r="AF30" i="4" s="1"/>
  <c r="AF10" i="17"/>
  <c r="AF26" i="4" s="1"/>
  <c r="AF6" i="17"/>
  <c r="AF22" i="4" s="1"/>
  <c r="AV48" i="33"/>
  <c r="AF12" i="17"/>
  <c r="AF28" i="4" s="1"/>
  <c r="AF8" i="17"/>
  <c r="AF24" i="4" s="1"/>
  <c r="AQ48" i="33"/>
  <c r="AF4" i="17"/>
  <c r="AF20" i="4" s="1"/>
  <c r="AF7" i="17"/>
  <c r="AF23" i="4" s="1"/>
  <c r="AW48" i="33"/>
  <c r="AS48" i="33"/>
  <c r="AF13" i="17"/>
  <c r="AF29" i="4" s="1"/>
  <c r="AF9" i="17"/>
  <c r="AF25" i="4" s="1"/>
  <c r="AF5" i="17"/>
  <c r="AF21" i="4" s="1"/>
  <c r="AC12" i="17"/>
  <c r="AC28" i="4" s="1"/>
  <c r="AC8" i="17"/>
  <c r="AC24" i="4" s="1"/>
  <c r="AC4" i="17"/>
  <c r="AC20" i="4" s="1"/>
  <c r="AC11" i="17"/>
  <c r="AC27" i="4" s="1"/>
  <c r="AC7" i="17"/>
  <c r="AC23" i="4" s="1"/>
  <c r="AC14" i="17"/>
  <c r="AC30" i="4" s="1"/>
  <c r="AC10" i="17"/>
  <c r="AC26" i="4" s="1"/>
  <c r="AC6" i="17"/>
  <c r="AC22" i="4" s="1"/>
  <c r="Z4" i="17"/>
  <c r="Z20" i="4" s="1"/>
  <c r="Z10" i="17"/>
  <c r="Z26" i="4" s="1"/>
  <c r="Z6" i="17"/>
  <c r="Z22" i="4" s="1"/>
  <c r="Z7" i="17"/>
  <c r="Z23" i="4" s="1"/>
  <c r="Z13" i="17"/>
  <c r="Z29" i="4" s="1"/>
  <c r="Z9" i="17"/>
  <c r="Z25" i="4" s="1"/>
  <c r="Z5" i="17"/>
  <c r="Z21" i="4" s="1"/>
  <c r="W12" i="17"/>
  <c r="W28" i="4" s="1"/>
  <c r="W8" i="17"/>
  <c r="W24" i="4" s="1"/>
  <c r="T29" i="4"/>
  <c r="T25" i="4"/>
  <c r="T21" i="4"/>
  <c r="D6" i="17"/>
  <c r="D22" i="4" s="1"/>
  <c r="Q14" i="17"/>
  <c r="Q30" i="4" s="1"/>
  <c r="Q10" i="17"/>
  <c r="Q26" i="4" s="1"/>
  <c r="Q6" i="17"/>
  <c r="Q22" i="4" s="1"/>
  <c r="D14" i="17"/>
  <c r="D30" i="4" s="1"/>
  <c r="C9" i="17"/>
  <c r="C25" i="4" s="1"/>
  <c r="N14" i="17"/>
  <c r="N30" i="4" s="1"/>
  <c r="N10" i="17"/>
  <c r="N26" i="4" s="1"/>
  <c r="N6" i="17"/>
  <c r="N22" i="4" s="1"/>
  <c r="D9" i="17"/>
  <c r="D25" i="4" s="1"/>
  <c r="D13" i="17"/>
  <c r="D29" i="4" s="1"/>
  <c r="D10" i="17"/>
  <c r="D26" i="4" s="1"/>
  <c r="C8" i="17"/>
  <c r="C24" i="4" s="1"/>
  <c r="B7" i="17"/>
  <c r="B23" i="4" s="1"/>
  <c r="C4" i="17"/>
  <c r="C20" i="4" s="1"/>
  <c r="C12" i="17"/>
  <c r="C28" i="4" s="1"/>
  <c r="K30" i="4"/>
  <c r="K26" i="4"/>
  <c r="K22" i="4"/>
  <c r="B8" i="17"/>
  <c r="B24" i="4" s="1"/>
  <c r="D5" i="17"/>
  <c r="D21" i="4" s="1"/>
  <c r="B12" i="17"/>
  <c r="B28" i="4" s="1"/>
  <c r="D12" i="17"/>
  <c r="D28" i="4" s="1"/>
  <c r="D8" i="17"/>
  <c r="D24" i="4" s="1"/>
  <c r="B4" i="17"/>
  <c r="B20" i="4" s="1"/>
  <c r="B14" i="17"/>
  <c r="B30" i="4" s="1"/>
  <c r="D4" i="17"/>
  <c r="D20" i="4" s="1"/>
  <c r="D11" i="17"/>
  <c r="D27" i="4" s="1"/>
  <c r="D7" i="17"/>
  <c r="D23" i="4" s="1"/>
  <c r="C7" i="17"/>
  <c r="C23" i="4" s="1"/>
  <c r="B5" i="17"/>
  <c r="B21" i="4" s="1"/>
  <c r="B10" i="17"/>
  <c r="B26" i="4" s="1"/>
  <c r="C10" i="17"/>
  <c r="C26" i="4" s="1"/>
  <c r="C6" i="17"/>
  <c r="C22" i="4" s="1"/>
  <c r="H13" i="17"/>
  <c r="H29" i="4" s="1"/>
  <c r="H5" i="17"/>
  <c r="H21" i="4" s="1"/>
  <c r="C11" i="17"/>
  <c r="C27" i="4" s="1"/>
  <c r="B6" i="17"/>
  <c r="B22" i="4" s="1"/>
  <c r="B11" i="17"/>
  <c r="B27" i="4" s="1"/>
  <c r="C13" i="17"/>
  <c r="C29" i="4" s="1"/>
  <c r="C5" i="17"/>
  <c r="C21" i="4" s="1"/>
  <c r="H12" i="17"/>
  <c r="H28" i="4" s="1"/>
  <c r="H8" i="17"/>
  <c r="H24" i="4" s="1"/>
  <c r="G3" i="17"/>
  <c r="J3" i="17"/>
  <c r="P3" i="17"/>
  <c r="Q3" i="17"/>
  <c r="B3" i="4"/>
  <c r="F3" i="4"/>
  <c r="J3" i="4"/>
  <c r="N3" i="4"/>
  <c r="M6" i="34" s="1"/>
  <c r="R3" i="4"/>
  <c r="Q6" i="34" s="1"/>
  <c r="Z3" i="4"/>
  <c r="Y6" i="34" s="1"/>
  <c r="AD3" i="4"/>
  <c r="AC6" i="34" s="1"/>
  <c r="AH3" i="4"/>
  <c r="AG6" i="34" s="1"/>
  <c r="R3" i="17"/>
  <c r="X3" i="17"/>
  <c r="C3" i="4"/>
  <c r="B6" i="34" s="1"/>
  <c r="G3" i="4"/>
  <c r="F6" i="34" s="1"/>
  <c r="J6" i="34"/>
  <c r="O3" i="4"/>
  <c r="N6" i="34" s="1"/>
  <c r="S3" i="4"/>
  <c r="R6" i="34" s="1"/>
  <c r="W3" i="4"/>
  <c r="V6" i="34" s="1"/>
  <c r="AA3" i="4"/>
  <c r="AE3" i="4"/>
  <c r="AD6" i="34" s="1"/>
  <c r="H3" i="17"/>
  <c r="S3" i="17"/>
  <c r="W3" i="17"/>
  <c r="Y3" i="17"/>
  <c r="Z3" i="17"/>
  <c r="AA3" i="17"/>
  <c r="AB3" i="17"/>
  <c r="AC3" i="17"/>
  <c r="AD3" i="17"/>
  <c r="AE3" i="17"/>
  <c r="AF3" i="17"/>
  <c r="AG3" i="17"/>
  <c r="AH3" i="17"/>
  <c r="B3" i="17"/>
  <c r="C3" i="17"/>
  <c r="D3" i="4"/>
  <c r="C6" i="34" s="1"/>
  <c r="H3" i="4"/>
  <c r="G6" i="34" s="1"/>
  <c r="K6" i="34"/>
  <c r="P3" i="4"/>
  <c r="O6" i="34" s="1"/>
  <c r="S6" i="34"/>
  <c r="X3" i="4"/>
  <c r="W6" i="34" s="1"/>
  <c r="AB3" i="4"/>
  <c r="AA6" i="34" s="1"/>
  <c r="AF3" i="4"/>
  <c r="AE6" i="34" s="1"/>
  <c r="B3" i="22"/>
  <c r="D3" i="17"/>
  <c r="E3" i="17"/>
  <c r="F3" i="17"/>
  <c r="I3" i="17"/>
  <c r="N3" i="17"/>
  <c r="O3" i="17"/>
  <c r="E3" i="4"/>
  <c r="D6" i="34" s="1"/>
  <c r="I3" i="4"/>
  <c r="H6" i="34" s="1"/>
  <c r="L6" i="34"/>
  <c r="Q3" i="4"/>
  <c r="P6" i="34" s="1"/>
  <c r="T6" i="34"/>
  <c r="Y3" i="4"/>
  <c r="X6" i="34" s="1"/>
  <c r="AC3" i="4"/>
  <c r="AB6" i="34" s="1"/>
  <c r="AG3" i="4"/>
  <c r="AF6" i="34" s="1"/>
  <c r="B13" i="17"/>
  <c r="B29" i="4" s="1"/>
  <c r="B9" i="17"/>
  <c r="B25" i="4" s="1"/>
  <c r="AP48" i="33" l="1"/>
  <c r="AP50" i="33"/>
  <c r="U6" i="34"/>
  <c r="I6" i="34"/>
  <c r="AP49" i="33"/>
  <c r="AP47" i="33"/>
  <c r="AP46" i="33"/>
  <c r="E6" i="34"/>
  <c r="AP21" i="33"/>
  <c r="Z6" i="34"/>
  <c r="AP20" i="33"/>
  <c r="S4" i="34"/>
  <c r="C4" i="34"/>
  <c r="H4" i="34"/>
  <c r="K32" i="35"/>
  <c r="K4" i="34"/>
  <c r="AN47" i="33"/>
  <c r="M32" i="35"/>
  <c r="H28" i="35"/>
  <c r="I28" i="35"/>
  <c r="W4" i="34"/>
  <c r="K28" i="35"/>
  <c r="AC4" i="34"/>
  <c r="M4" i="34"/>
  <c r="X4" i="34"/>
  <c r="AA4" i="34"/>
  <c r="C32" i="35"/>
  <c r="AF4" i="34"/>
  <c r="J32" i="35"/>
  <c r="U4" i="34"/>
  <c r="E28" i="35"/>
  <c r="T4" i="34" l="1"/>
  <c r="AG4" i="34"/>
  <c r="AD4" i="34"/>
  <c r="L32" i="35"/>
  <c r="D4" i="34"/>
  <c r="AN21" i="33"/>
  <c r="J28" i="35"/>
  <c r="N4" i="34"/>
  <c r="J5" i="34"/>
  <c r="D5" i="34"/>
  <c r="AO21" i="33"/>
  <c r="N5" i="34"/>
  <c r="H5" i="34"/>
  <c r="H16" i="34" s="1"/>
  <c r="H17" i="34" s="1"/>
  <c r="E29" i="35" s="1"/>
  <c r="O5" i="34"/>
  <c r="L5" i="34"/>
  <c r="F5" i="34"/>
  <c r="P5" i="34"/>
  <c r="J4" i="34"/>
  <c r="J16" i="34" s="1"/>
  <c r="J17" i="34" s="1"/>
  <c r="B4" i="34"/>
  <c r="C28" i="35"/>
  <c r="M5" i="34"/>
  <c r="M16" i="34" s="1"/>
  <c r="M17" i="34" s="1"/>
  <c r="G5" i="34"/>
  <c r="Q5" i="34"/>
  <c r="K5" i="34"/>
  <c r="K16" i="34" s="1"/>
  <c r="K17" i="34" s="1"/>
  <c r="F29" i="35" s="1"/>
  <c r="E5" i="34"/>
  <c r="B5" i="34"/>
  <c r="I5" i="34"/>
  <c r="C5" i="34"/>
  <c r="C16" i="34" s="1"/>
  <c r="C17" i="34" s="1"/>
  <c r="C33" i="35" s="1"/>
  <c r="AO20" i="33"/>
  <c r="E4" i="34"/>
  <c r="D28" i="35"/>
  <c r="G32" i="35"/>
  <c r="O4" i="34"/>
  <c r="F32" i="35"/>
  <c r="L4" i="34"/>
  <c r="L16" i="34" s="1"/>
  <c r="L17" i="34" s="1"/>
  <c r="F33" i="35" s="1"/>
  <c r="I4" i="34"/>
  <c r="E32" i="35"/>
  <c r="F4" i="34"/>
  <c r="F16" i="34" s="1"/>
  <c r="F17" i="34" s="1"/>
  <c r="D33" i="35" s="1"/>
  <c r="D32" i="35"/>
  <c r="P4" i="34"/>
  <c r="Q4" i="34"/>
  <c r="G28" i="35"/>
  <c r="AC5" i="34"/>
  <c r="AC16" i="34" s="1"/>
  <c r="AC17" i="34" s="1"/>
  <c r="L29" i="35" s="1"/>
  <c r="AO46" i="33"/>
  <c r="Z5" i="34"/>
  <c r="W5" i="34"/>
  <c r="W16" i="34" s="1"/>
  <c r="W17" i="34" s="1"/>
  <c r="J29" i="35" s="1"/>
  <c r="T5" i="34"/>
  <c r="AO50" i="33"/>
  <c r="AG5" i="34"/>
  <c r="AD5" i="34"/>
  <c r="AA5" i="34"/>
  <c r="AA16" i="34" s="1"/>
  <c r="AA17" i="34" s="1"/>
  <c r="K33" i="35" s="1"/>
  <c r="X5" i="34"/>
  <c r="X16" i="34" s="1"/>
  <c r="X17" i="34" s="1"/>
  <c r="J33" i="35" s="1"/>
  <c r="U5" i="34"/>
  <c r="U16" i="34" s="1"/>
  <c r="U17" i="34" s="1"/>
  <c r="I33" i="35" s="1"/>
  <c r="R5" i="34"/>
  <c r="AE5" i="34"/>
  <c r="AO48" i="33"/>
  <c r="AB5" i="34"/>
  <c r="Y5" i="34"/>
  <c r="V5" i="34"/>
  <c r="S5" i="34"/>
  <c r="S16" i="34" s="1"/>
  <c r="S17" i="34" s="1"/>
  <c r="AF5" i="34"/>
  <c r="AF16" i="34" s="1"/>
  <c r="AF17" i="34" s="1"/>
  <c r="M29" i="35" s="1"/>
  <c r="AO49" i="33"/>
  <c r="F28" i="35"/>
  <c r="L28" i="35"/>
  <c r="Z4" i="34"/>
  <c r="I32" i="35"/>
  <c r="R4" i="34"/>
  <c r="R16" i="34" s="1"/>
  <c r="R17" i="34" s="1"/>
  <c r="H33" i="35" s="1"/>
  <c r="H32" i="35"/>
  <c r="AE4" i="34"/>
  <c r="AB4" i="34"/>
  <c r="Y4" i="34"/>
  <c r="V4" i="34"/>
  <c r="M28" i="35"/>
  <c r="AN50" i="33"/>
  <c r="G25" i="35" l="1"/>
  <c r="I25" i="35"/>
  <c r="F25" i="35"/>
  <c r="Q16" i="34"/>
  <c r="Q17" i="34" s="1"/>
  <c r="H29" i="35" s="1"/>
  <c r="O16" i="34"/>
  <c r="O17" i="34" s="1"/>
  <c r="G33" i="35" s="1"/>
  <c r="N16" i="33"/>
  <c r="I16" i="34"/>
  <c r="I17" i="34" s="1"/>
  <c r="E33" i="35" s="1"/>
  <c r="E16" i="34"/>
  <c r="E17" i="34" s="1"/>
  <c r="D29" i="35" s="1"/>
  <c r="AG16" i="34"/>
  <c r="AG17" i="34" s="1"/>
  <c r="M33" i="35" s="1"/>
  <c r="V16" i="34"/>
  <c r="V17" i="34" s="1"/>
  <c r="AB16" i="34"/>
  <c r="AB17" i="34" s="1"/>
  <c r="Z16" i="34"/>
  <c r="Z17" i="34" s="1"/>
  <c r="K29" i="35" s="1"/>
  <c r="S16" i="33"/>
  <c r="AA16" i="33"/>
  <c r="B16" i="34"/>
  <c r="B17" i="34" s="1"/>
  <c r="C29" i="35" s="1"/>
  <c r="D16" i="34"/>
  <c r="D17" i="34" s="1"/>
  <c r="AM50" i="33"/>
  <c r="X16" i="33"/>
  <c r="AO47" i="33"/>
  <c r="AM47" i="33" s="1"/>
  <c r="AD16" i="33"/>
  <c r="K16" i="33"/>
  <c r="Y16" i="34"/>
  <c r="Y17" i="34" s="1"/>
  <c r="AE16" i="34"/>
  <c r="AE17" i="34" s="1"/>
  <c r="P16" i="34"/>
  <c r="P17" i="34" s="1"/>
  <c r="G16" i="34"/>
  <c r="G17" i="34" s="1"/>
  <c r="T16" i="34"/>
  <c r="T17" i="34" s="1"/>
  <c r="I29" i="35" s="1"/>
  <c r="AM21" i="33"/>
  <c r="AD16" i="34"/>
  <c r="AD17" i="34" s="1"/>
  <c r="L33" i="35" s="1"/>
  <c r="AG16" i="33"/>
  <c r="M16" i="33"/>
  <c r="D16" i="33"/>
  <c r="T16" i="33"/>
  <c r="W16" i="33"/>
  <c r="N16" i="34"/>
  <c r="N17" i="34" s="1"/>
  <c r="G29" i="35"/>
  <c r="AN49" i="33"/>
  <c r="AM49" i="33" s="1"/>
  <c r="AF16" i="33"/>
  <c r="R16" i="33"/>
  <c r="H16" i="33"/>
  <c r="O16" i="33"/>
  <c r="Y16" i="33"/>
  <c r="AE16" i="33"/>
  <c r="AN48" i="33"/>
  <c r="AM48" i="33" s="1"/>
  <c r="L16" i="33"/>
  <c r="G16" i="33"/>
  <c r="V16" i="33"/>
  <c r="U16" i="33"/>
  <c r="AC16" i="33"/>
  <c r="AN46" i="33"/>
  <c r="AM46" i="33" s="1"/>
  <c r="AN20" i="33"/>
  <c r="AM20" i="33" s="1"/>
  <c r="C16" i="33"/>
  <c r="B16" i="33"/>
  <c r="J16" i="33"/>
  <c r="P16" i="33"/>
  <c r="F16" i="33"/>
  <c r="Z16" i="33"/>
  <c r="I16" i="33"/>
  <c r="AB16" i="33"/>
  <c r="Q16" i="33"/>
  <c r="E16" i="33"/>
  <c r="H25" i="35" l="1"/>
  <c r="D25" i="35"/>
  <c r="M25" i="35"/>
  <c r="L25" i="35"/>
  <c r="K25" i="35"/>
  <c r="J25" i="35"/>
  <c r="E25" i="35"/>
  <c r="L12" i="35" a="1"/>
  <c r="L12" i="35" s="1"/>
  <c r="L13" i="35" s="1" a="1"/>
  <c r="L13" i="35" s="1"/>
  <c r="L14" i="35" s="1" a="1"/>
  <c r="L14" i="35" s="1"/>
  <c r="L15" i="35" s="1" a="1"/>
  <c r="L15" i="35" s="1"/>
  <c r="E12" i="35" a="1"/>
  <c r="E12" i="35" s="1"/>
  <c r="L16" i="35" l="1" a="1"/>
  <c r="L16" i="35" s="1"/>
  <c r="B12" i="35"/>
  <c r="I12" i="35"/>
  <c r="E13" i="35" a="1"/>
  <c r="E13" i="35" s="1"/>
  <c r="B13" i="35" s="1"/>
  <c r="K12" i="35" l="1"/>
  <c r="J12" i="35" s="1"/>
  <c r="D13" i="35"/>
  <c r="C13" i="35" s="1"/>
  <c r="D12" i="35"/>
  <c r="C12" i="35" s="1"/>
  <c r="I13" i="35"/>
  <c r="E14" i="35" a="1"/>
  <c r="E14" i="35" s="1"/>
  <c r="K13" i="35" l="1"/>
  <c r="J13" i="35" s="1"/>
  <c r="I15" i="35"/>
  <c r="I14" i="35"/>
  <c r="E15" i="35" a="1"/>
  <c r="E15" i="35" s="1"/>
  <c r="B14" i="35"/>
  <c r="K14" i="35" l="1"/>
  <c r="J14" i="35" s="1"/>
  <c r="K15" i="35"/>
  <c r="J15" i="35" s="1"/>
  <c r="D14" i="35"/>
  <c r="C14" i="35" s="1"/>
  <c r="I16" i="35"/>
  <c r="B15" i="35"/>
  <c r="E16" i="35" a="1"/>
  <c r="E16" i="35" s="1"/>
  <c r="B16" i="35" s="1"/>
  <c r="K16" i="35" l="1"/>
  <c r="J16" i="35" s="1"/>
  <c r="D16" i="35"/>
  <c r="C16" i="35" s="1"/>
  <c r="D15" i="35"/>
  <c r="C15" i="3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<sst xmlns="http://schemas.openxmlformats.org/spreadsheetml/2006/main" count="462" uniqueCount="120">
  <si>
    <t>CTE Participation</t>
  </si>
  <si>
    <t>Number of CTE participants as calculated for Perkins V</t>
  </si>
  <si>
    <t>HWHD CTE Participation</t>
  </si>
  <si>
    <t>CTE Concentration</t>
  </si>
  <si>
    <t>Number of CTE concentrators as calculated for Perkins V</t>
  </si>
  <si>
    <t>HWHD CTE Concentration</t>
  </si>
  <si>
    <t>WBL Completion</t>
  </si>
  <si>
    <t>Advanced Coursework Completion</t>
  </si>
  <si>
    <t>Credential Completion</t>
  </si>
  <si>
    <t>Placement</t>
  </si>
  <si>
    <t>HWHD Placement</t>
  </si>
  <si>
    <t>Wages</t>
  </si>
  <si>
    <t>HWHD Wages</t>
  </si>
  <si>
    <t>Male</t>
  </si>
  <si>
    <t>Female</t>
  </si>
  <si>
    <t>Asian or Pacific Islander</t>
  </si>
  <si>
    <t>Multiracial</t>
  </si>
  <si>
    <t>Economically Disadvantaged</t>
  </si>
  <si>
    <t>Migrant</t>
  </si>
  <si>
    <t>Asian or Pacific Islander Male</t>
  </si>
  <si>
    <t>Asian or Pacific Islander Female</t>
  </si>
  <si>
    <t>Multiracial Male</t>
  </si>
  <si>
    <t>Multiracial Female</t>
  </si>
  <si>
    <t>Economically Disadvantaged Male</t>
  </si>
  <si>
    <t>Economically Disadvantaged Female</t>
  </si>
  <si>
    <t>Migrant Male</t>
  </si>
  <si>
    <t>Migrant Female</t>
  </si>
  <si>
    <t>Goal Met</t>
  </si>
  <si>
    <t>Indicator</t>
  </si>
  <si>
    <t>Top 5</t>
  </si>
  <si>
    <t>Order</t>
  </si>
  <si>
    <t>Bottom 5</t>
  </si>
  <si>
    <t xml:space="preserve">Choose an Indicator:  </t>
  </si>
  <si>
    <t>Definition of Selected Indicator:</t>
  </si>
  <si>
    <t>Selection</t>
  </si>
  <si>
    <t>SubGroup</t>
  </si>
  <si>
    <t>Most Represented</t>
  </si>
  <si>
    <t>Goal</t>
  </si>
  <si>
    <t>% Remaining</t>
  </si>
  <si>
    <t>Color Legend</t>
  </si>
  <si>
    <t>&lt;= 25%</t>
  </si>
  <si>
    <t>25.1% - 50%</t>
  </si>
  <si>
    <t>50.1% - 75%</t>
  </si>
  <si>
    <t>&gt; 75%</t>
  </si>
  <si>
    <t>Learners Needed</t>
  </si>
  <si>
    <t>Result</t>
  </si>
  <si>
    <t>Learners Needed:</t>
  </si>
  <si>
    <t>Most Under-represented</t>
  </si>
  <si>
    <t>Definitions of Indicators</t>
  </si>
  <si>
    <t>Count Remaining to Goal</t>
  </si>
  <si>
    <t xml:space="preserve"> </t>
  </si>
  <si>
    <t>Black Non-Latinx</t>
  </si>
  <si>
    <t>Black Non-Latinx Male</t>
  </si>
  <si>
    <t>Black Non-Latinx Female</t>
  </si>
  <si>
    <t>Latinx</t>
  </si>
  <si>
    <t>Latinx Male</t>
  </si>
  <si>
    <t>Latinx Female</t>
  </si>
  <si>
    <t>White Non-Latinx</t>
  </si>
  <si>
    <t>White Non-Latinx Male</t>
  </si>
  <si>
    <t>White Non-Latinx Female</t>
  </si>
  <si>
    <t>Native American or Alaska Native</t>
  </si>
  <si>
    <t>Native American or Alaska Native Male</t>
  </si>
  <si>
    <t>Native American or Alaska Native Female</t>
  </si>
  <si>
    <t>English Learner</t>
  </si>
  <si>
    <t>English Learner Male</t>
  </si>
  <si>
    <t>English Learner Female</t>
  </si>
  <si>
    <t>Learners with Disabilities</t>
  </si>
  <si>
    <t>Learners with Disabilities Male</t>
  </si>
  <si>
    <t>Learners with Disabilities Female</t>
  </si>
  <si>
    <t>Definition</t>
  </si>
  <si>
    <t>Counts Entered by User</t>
  </si>
  <si>
    <t>Current Representation</t>
  </si>
  <si>
    <t>Goals Entered by User</t>
  </si>
  <si>
    <t>Learner Group</t>
  </si>
  <si>
    <t>Numeric Goal:</t>
  </si>
  <si>
    <t>Most Represented Learner Groups for Chosen Indicator</t>
  </si>
  <si>
    <t>Most Under-represented Learner Groups for Chosen Indicator</t>
  </si>
  <si>
    <t>Summary of Goals and Learners Needed for Chosen Indicator</t>
  </si>
  <si>
    <t>Dashboard</t>
  </si>
  <si>
    <t>Introduction</t>
  </si>
  <si>
    <t>Indicator Definitions</t>
  </si>
  <si>
    <t xml:space="preserve">   Learner Groups</t>
  </si>
  <si>
    <t>Learner Groups</t>
  </si>
  <si>
    <r>
      <t xml:space="preserve">Contents </t>
    </r>
    <r>
      <rPr>
        <b/>
        <i/>
        <sz val="10"/>
        <color theme="0"/>
        <rFont val="Arial (Headings)"/>
      </rPr>
      <t>(click to jump)</t>
    </r>
  </si>
  <si>
    <r>
      <rPr>
        <b/>
        <u/>
        <sz val="14"/>
        <color theme="0"/>
        <rFont val="Arial (Headings)"/>
      </rPr>
      <t>Additional Calculations</t>
    </r>
    <r>
      <rPr>
        <u/>
        <sz val="14"/>
        <color theme="0"/>
        <rFont val="Arial (Headings)"/>
      </rPr>
      <t xml:space="preserve"> </t>
    </r>
    <r>
      <rPr>
        <i/>
        <sz val="14"/>
        <color theme="0"/>
        <rFont val="Arial"/>
        <family val="2"/>
        <scheme val="major"/>
      </rPr>
      <t>(hidden tabs)</t>
    </r>
  </si>
  <si>
    <t>Additional Calculations (hidden tabs)</t>
  </si>
  <si>
    <r>
      <t>Filter the Dashboard using the dropdown menu below. 
Make sure your cursor is on the</t>
    </r>
    <r>
      <rPr>
        <b/>
        <i/>
        <sz val="11"/>
        <color rgb="FF009AA6"/>
        <rFont val="Arial (Headings)"/>
      </rPr>
      <t xml:space="preserve"> light blue</t>
    </r>
    <r>
      <rPr>
        <b/>
        <i/>
        <sz val="11"/>
        <color rgb="FF004077"/>
        <rFont val="Arial"/>
        <family val="2"/>
        <scheme val="major"/>
      </rPr>
      <t xml:space="preserve"> box below to filter through the indicators.</t>
    </r>
  </si>
  <si>
    <t>Number of CTE concentrators who have completed sustained work-based learning experiences such as internships, apprenticeships and/or clinicals</t>
  </si>
  <si>
    <t>Number of CTE concentrators who have earned recognized postsecondary credentials such as industry certifications, postsecondary certificates and/or degrees</t>
  </si>
  <si>
    <t>Number of CTE concentrators placed in postsecondary education, advanced training or the workforce after completing a CTE program as calculated for Perkins V</t>
  </si>
  <si>
    <t>Number of CTE concentrators who, after completing a CTE program, earned at or above the state’s definition of “high wage”</t>
  </si>
  <si>
    <t>Percent Remaining to Goal</t>
  </si>
  <si>
    <t>Numeric Goals</t>
  </si>
  <si>
    <t xml:space="preserve">Percentage Points Remaining to Goal: </t>
  </si>
  <si>
    <t>Total Population for Each Learner Group</t>
  </si>
  <si>
    <t>Total Population for Each Indicator</t>
  </si>
  <si>
    <t>Review the definitions for each indicator. To make any changes that better fit your state or local context, click on the cells in Column B to to type your preferred definition for each indicator.</t>
  </si>
  <si>
    <t>Column1</t>
  </si>
  <si>
    <t>Achieving Inclusive CTE Goal-Setting Tool</t>
  </si>
  <si>
    <t>Color Legend for Current Representation</t>
  </si>
  <si>
    <t>Lowest Value (in population group)</t>
  </si>
  <si>
    <t>Midpoint (in population group)</t>
  </si>
  <si>
    <t>Highest Value (in population group)</t>
  </si>
  <si>
    <r>
      <t>Shown here for reference (cells B20-AH30). This is the current count of learners for each indicator expressed as a percentage.
The heatmap will show you where representation is higher (</t>
    </r>
    <r>
      <rPr>
        <b/>
        <i/>
        <sz val="12"/>
        <color rgb="FF00B050"/>
        <rFont val="Arial (Headings)"/>
      </rPr>
      <t>green</t>
    </r>
    <r>
      <rPr>
        <b/>
        <i/>
        <sz val="12"/>
        <color rgb="FF004077"/>
        <rFont val="Arial"/>
        <family val="2"/>
        <scheme val="major"/>
      </rPr>
      <t>) and lower (</t>
    </r>
    <r>
      <rPr>
        <b/>
        <i/>
        <sz val="12"/>
        <color rgb="FFFF4F4F"/>
        <rFont val="Arial (Headings)"/>
      </rPr>
      <t>red</t>
    </r>
    <r>
      <rPr>
        <b/>
        <i/>
        <sz val="12"/>
        <color rgb="FF004077"/>
        <rFont val="Arial"/>
        <family val="2"/>
        <scheme val="major"/>
      </rPr>
      <t>).</t>
    </r>
  </si>
  <si>
    <r>
      <t xml:space="preserve">1. See the definition for each indicator. 
2. To change an indicator definition, type the preferred definition in </t>
    </r>
    <r>
      <rPr>
        <b/>
        <sz val="12"/>
        <color theme="1"/>
        <rFont val="Arial"/>
        <family val="2"/>
        <scheme val="major"/>
      </rPr>
      <t>column B</t>
    </r>
    <r>
      <rPr>
        <sz val="12"/>
        <color theme="1"/>
        <rFont val="Arial"/>
        <family val="2"/>
        <scheme val="major"/>
      </rPr>
      <t xml:space="preserve"> for that indicator. This will update the definition that appears in the dashboard. </t>
    </r>
  </si>
  <si>
    <r>
      <t xml:space="preserve">1. Enter counts for each learner group for each indicator </t>
    </r>
    <r>
      <rPr>
        <b/>
        <sz val="12"/>
        <color theme="1"/>
        <rFont val="Arial"/>
        <family val="2"/>
        <scheme val="major"/>
      </rPr>
      <t>(cells E4-AH14).</t>
    </r>
    <r>
      <rPr>
        <sz val="12"/>
        <color theme="1"/>
        <rFont val="Arial"/>
        <family val="2"/>
        <scheme val="major"/>
      </rPr>
      <t xml:space="preserve"> You may copy and paste or enter counts directly into the worksheet.
2. Enter total male learners, total female learners and overall total counts for each indicator </t>
    </r>
    <r>
      <rPr>
        <b/>
        <sz val="12"/>
        <color theme="1"/>
        <rFont val="Arial"/>
        <family val="2"/>
        <scheme val="major"/>
      </rPr>
      <t>(cells B4-D14).</t>
    </r>
    <r>
      <rPr>
        <sz val="12"/>
        <color theme="1"/>
        <rFont val="Arial"/>
        <family val="2"/>
        <scheme val="major"/>
      </rPr>
      <t xml:space="preserve">
3. Enter total counts for each learner group in the community </t>
    </r>
    <r>
      <rPr>
        <b/>
        <sz val="12"/>
        <color theme="1"/>
        <rFont val="Arial"/>
        <family val="2"/>
        <scheme val="major"/>
      </rPr>
      <t>(cells B3-AH3).</t>
    </r>
    <r>
      <rPr>
        <sz val="12"/>
        <color theme="1"/>
        <rFont val="Arial"/>
        <family val="2"/>
        <scheme val="major"/>
      </rPr>
      <t xml:space="preserve"> 
4. The workbook will give you a warning below the table, in </t>
    </r>
    <r>
      <rPr>
        <b/>
        <sz val="12"/>
        <color rgb="FFFF0000"/>
        <rFont val="Arial (Headings)"/>
      </rPr>
      <t>red,</t>
    </r>
    <r>
      <rPr>
        <sz val="12"/>
        <color theme="1"/>
        <rFont val="Arial"/>
        <family val="2"/>
        <scheme val="major"/>
      </rPr>
      <t xml:space="preserve"> if there is a discrepancy between the counts entered for particular learner groups and total counts.
5. If you do not have data about a particular indicator or learner group, or do not intend to develop goals for a particular indicator or learner group, </t>
    </r>
    <r>
      <rPr>
        <b/>
        <sz val="12"/>
        <color theme="1"/>
        <rFont val="Arial"/>
        <family val="2"/>
        <scheme val="major"/>
      </rPr>
      <t>leave all cells pertaining to that indicator or learner group blank</t>
    </r>
    <r>
      <rPr>
        <sz val="12"/>
        <color theme="1"/>
        <rFont val="Arial"/>
        <family val="2"/>
        <scheme val="major"/>
      </rPr>
      <t xml:space="preserve"> — </t>
    </r>
    <r>
      <rPr>
        <b/>
        <sz val="12"/>
        <color theme="1"/>
        <rFont val="Arial"/>
        <family val="2"/>
        <scheme val="major"/>
      </rPr>
      <t>including the total population for that indicator (column B) or learner group (row 3).</t>
    </r>
    <r>
      <rPr>
        <sz val="12"/>
        <color theme="1"/>
        <rFont val="Arial"/>
        <family val="2"/>
        <scheme val="major"/>
      </rPr>
      <t xml:space="preserve">
</t>
    </r>
  </si>
  <si>
    <r>
      <t xml:space="preserve">You have the option to input data for the following learner groups. If you decide not to enter counts or goals for a learner group, </t>
    </r>
    <r>
      <rPr>
        <b/>
        <sz val="12"/>
        <color theme="1"/>
        <rFont val="Arial"/>
        <family val="2"/>
        <scheme val="major"/>
      </rPr>
      <t>leave all cells pertaining to that learner group blank</t>
    </r>
    <r>
      <rPr>
        <sz val="12"/>
        <color theme="1"/>
        <rFont val="Arial"/>
        <family val="2"/>
        <scheme val="major"/>
      </rPr>
      <t xml:space="preserve"> — </t>
    </r>
    <r>
      <rPr>
        <b/>
        <sz val="12"/>
        <color theme="1"/>
        <rFont val="Arial"/>
        <family val="2"/>
        <scheme val="major"/>
      </rPr>
      <t>including the total population for that learner group</t>
    </r>
    <r>
      <rPr>
        <sz val="12"/>
        <color theme="1"/>
        <rFont val="Arial"/>
        <family val="2"/>
        <scheme val="major"/>
      </rPr>
      <t xml:space="preserve"> </t>
    </r>
    <r>
      <rPr>
        <b/>
        <sz val="12"/>
        <color theme="1"/>
        <rFont val="Arial"/>
        <family val="2"/>
        <scheme val="major"/>
      </rPr>
      <t>(row 3):</t>
    </r>
    <r>
      <rPr>
        <sz val="12"/>
        <color theme="1"/>
        <rFont val="Arial"/>
        <family val="2"/>
        <scheme val="major"/>
      </rPr>
      <t xml:space="preserve">
   Male 
   Female 
   Asian or Pacific Islander (male, female)
   Black Non-Latinx (male, female)
   Latinx (male, female)
   Multi-Racial (male, female)
   Native American or Alaska Native (male, female)
   White Non-Latinx (male, female)
   Learners With Disabilities (male, female)
   Economically Disadvantaged (male, female)
   English Learner (male, female)
   Migrant Learner (male, female)
</t>
    </r>
  </si>
  <si>
    <r>
      <t xml:space="preserve">1. See the current representation for each learner group for each indicator </t>
    </r>
    <r>
      <rPr>
        <b/>
        <sz val="12"/>
        <color rgb="FF000000"/>
        <rFont val="Arial"/>
        <family val="2"/>
        <scheme val="major"/>
      </rPr>
      <t>(cells C4-AH14)</t>
    </r>
    <r>
      <rPr>
        <sz val="12"/>
        <color rgb="FF000000"/>
        <rFont val="Arial"/>
        <family val="2"/>
        <scheme val="major"/>
      </rPr>
      <t xml:space="preserve"> and for the total population for each indicator </t>
    </r>
    <r>
      <rPr>
        <b/>
        <sz val="12"/>
        <color rgb="FF000000"/>
        <rFont val="Arial"/>
        <family val="2"/>
        <scheme val="major"/>
      </rPr>
      <t>(cells B4-B14)</t>
    </r>
    <r>
      <rPr>
        <sz val="12"/>
        <color rgb="FF000000"/>
        <rFont val="Arial"/>
        <family val="2"/>
        <scheme val="major"/>
      </rPr>
      <t xml:space="preserve"> as a percentage based on the counts you entered in the “Counts Entered by User” tab.
2. The current representation of each learner group in the community </t>
    </r>
    <r>
      <rPr>
        <b/>
        <sz val="12"/>
        <color rgb="FF000000"/>
        <rFont val="Arial"/>
        <family val="2"/>
        <scheme val="major"/>
      </rPr>
      <t>(row 3)</t>
    </r>
    <r>
      <rPr>
        <sz val="12"/>
        <color rgb="FF000000"/>
        <rFont val="Arial"/>
        <family val="2"/>
        <scheme val="major"/>
      </rPr>
      <t xml:space="preserve"> is provided as a reference. 
3. This tab is protected to prevent users from accidentally deleting or changing data. </t>
    </r>
  </si>
  <si>
    <r>
      <t xml:space="preserve">1. Enter goal percentages for each learner group for each indicator </t>
    </r>
    <r>
      <rPr>
        <b/>
        <sz val="12"/>
        <color rgb="FF000000"/>
        <rFont val="Arial"/>
        <family val="2"/>
        <scheme val="major"/>
      </rPr>
      <t>(cells C4-AH14)</t>
    </r>
    <r>
      <rPr>
        <sz val="12"/>
        <color rgb="FF000000"/>
        <rFont val="Arial"/>
        <family val="2"/>
        <scheme val="major"/>
      </rPr>
      <t xml:space="preserve"> and for the total population for each indicator </t>
    </r>
    <r>
      <rPr>
        <b/>
        <sz val="12"/>
        <color rgb="FF000000"/>
        <rFont val="Arial"/>
        <family val="2"/>
        <scheme val="major"/>
      </rPr>
      <t>(cells B4-B14).</t>
    </r>
    <r>
      <rPr>
        <sz val="12"/>
        <color rgb="FF000000"/>
        <rFont val="Arial"/>
        <family val="2"/>
        <scheme val="major"/>
      </rPr>
      <t xml:space="preserve">
2. The current representation of each learner group in the community </t>
    </r>
    <r>
      <rPr>
        <b/>
        <sz val="12"/>
        <color rgb="FF000000"/>
        <rFont val="Arial"/>
        <family val="2"/>
        <scheme val="major"/>
      </rPr>
      <t>(row 3)</t>
    </r>
    <r>
      <rPr>
        <sz val="12"/>
        <color rgb="FF000000"/>
        <rFont val="Arial"/>
        <family val="2"/>
        <scheme val="major"/>
      </rPr>
      <t xml:space="preserve"> is provided as a reference. All data in row 3 is imported from the “Counts Entered by User” tab and</t>
    </r>
    <r>
      <rPr>
        <b/>
        <sz val="12"/>
        <color rgb="FF000000"/>
        <rFont val="Arial"/>
        <family val="2"/>
        <scheme val="major"/>
      </rPr>
      <t xml:space="preserve"> should not be changed,</t>
    </r>
    <r>
      <rPr>
        <sz val="12"/>
        <color rgb="FF000000"/>
        <rFont val="Arial"/>
        <family val="2"/>
        <scheme val="major"/>
      </rPr>
      <t xml:space="preserve"> unless you are omitting a particular learner group from the analysis. 
3. In addition, the current representation for each learner group for each indicator </t>
    </r>
    <r>
      <rPr>
        <b/>
        <sz val="12"/>
        <color rgb="FF000000"/>
        <rFont val="Arial"/>
        <family val="2"/>
        <scheme val="major"/>
      </rPr>
      <t>(cells C20-AH30)</t>
    </r>
    <r>
      <rPr>
        <sz val="12"/>
        <color rgb="FF000000"/>
        <rFont val="Arial"/>
        <family val="2"/>
        <scheme val="major"/>
      </rPr>
      <t xml:space="preserve"> and for the total population for each indicator </t>
    </r>
    <r>
      <rPr>
        <b/>
        <sz val="12"/>
        <color rgb="FF000000"/>
        <rFont val="Arial"/>
        <family val="2"/>
        <scheme val="major"/>
      </rPr>
      <t>(cells B20-B30)</t>
    </r>
    <r>
      <rPr>
        <sz val="12"/>
        <color rgb="FF000000"/>
        <rFont val="Arial"/>
        <family val="2"/>
        <scheme val="major"/>
      </rPr>
      <t xml:space="preserve"> is provided as a reference. A heatmap will show you where representation is higher </t>
    </r>
    <r>
      <rPr>
        <b/>
        <sz val="12"/>
        <color rgb="FF00B050"/>
        <rFont val="Arial"/>
        <family val="2"/>
        <scheme val="major"/>
      </rPr>
      <t>(</t>
    </r>
    <r>
      <rPr>
        <b/>
        <sz val="12"/>
        <color rgb="FF00B050"/>
        <rFont val="Arial (Headings)"/>
      </rPr>
      <t>green</t>
    </r>
    <r>
      <rPr>
        <b/>
        <sz val="12"/>
        <color rgb="FF00B050"/>
        <rFont val="Arial"/>
        <family val="2"/>
        <scheme val="major"/>
      </rPr>
      <t>)</t>
    </r>
    <r>
      <rPr>
        <sz val="12"/>
        <color rgb="FF000000"/>
        <rFont val="Arial"/>
        <family val="2"/>
        <scheme val="major"/>
      </rPr>
      <t xml:space="preserve"> and lower </t>
    </r>
    <r>
      <rPr>
        <b/>
        <sz val="12"/>
        <color rgb="FFFF0000"/>
        <rFont val="Arial (Headings)"/>
      </rPr>
      <t>(</t>
    </r>
    <r>
      <rPr>
        <b/>
        <sz val="12"/>
        <color rgb="FFFF4F4F"/>
        <rFont val="Arial (Headings)"/>
      </rPr>
      <t>red</t>
    </r>
    <r>
      <rPr>
        <b/>
        <sz val="12"/>
        <color rgb="FFFF0000"/>
        <rFont val="Arial (Headings)"/>
      </rPr>
      <t>).</t>
    </r>
    <r>
      <rPr>
        <sz val="12"/>
        <color rgb="FF000000"/>
        <rFont val="Arial"/>
        <family val="2"/>
        <scheme val="major"/>
      </rPr>
      <t xml:space="preserve">
4. If you do not have data about a particular indicator or learner group, or do not intend to develop goals for a particular indicator or learner group, </t>
    </r>
    <r>
      <rPr>
        <b/>
        <sz val="12"/>
        <color rgb="FF000000"/>
        <rFont val="Arial"/>
        <family val="2"/>
        <scheme val="major"/>
      </rPr>
      <t>leave all cells pertaining to that indicator or learner group blank</t>
    </r>
    <r>
      <rPr>
        <sz val="12"/>
        <color rgb="FF000000"/>
        <rFont val="Arial"/>
        <family val="2"/>
        <scheme val="major"/>
      </rPr>
      <t xml:space="preserve"> </t>
    </r>
    <r>
      <rPr>
        <b/>
        <sz val="12"/>
        <color rgb="FF000000"/>
        <rFont val="Arial"/>
        <family val="2"/>
        <scheme val="major"/>
      </rPr>
      <t>— including the total population for that indicator (column B) or learner group (row 3).</t>
    </r>
    <r>
      <rPr>
        <sz val="12"/>
        <color rgb="FF000000"/>
        <rFont val="Arial"/>
        <family val="2"/>
        <scheme val="major"/>
      </rPr>
      <t xml:space="preserve"> This is the only instance in which you should change data in row 3. </t>
    </r>
  </si>
  <si>
    <r>
      <t xml:space="preserve">1. Choose the indicator you want to view using the dropdown menu. The definition of the selected indicator will appear below your selection. 
2. See a table showing the five learner groups that are the most represented (on the left) and a table showing the five learner groups that are the most under-represented (on the right) for that indicator. 
3. Within these tables, see the numeric goal you set for that learner group, the number of learners needed to achieve your goal for that learner group, and the gap remaining to achieve 100 percent of your goal for that learner group. 
4. Below the tables, see the numeric goal and the number of learners needed to achieve your goal for each learner group for that indicator. The heat map shows where you are closest to and farthest from your goal as a percentage, with </t>
    </r>
    <r>
      <rPr>
        <b/>
        <sz val="12"/>
        <color theme="9" tint="-0.249977111117893"/>
        <rFont val="Arial (Headings)"/>
      </rPr>
      <t>green</t>
    </r>
    <r>
      <rPr>
        <sz val="12"/>
        <color rgb="FF000000"/>
        <rFont val="Arial"/>
        <family val="2"/>
        <scheme val="major"/>
      </rPr>
      <t xml:space="preserve"> used to indicate when you are closer to 100 percent of the goal and </t>
    </r>
    <r>
      <rPr>
        <b/>
        <sz val="12"/>
        <color rgb="FFFF0000"/>
        <rFont val="Arial (Headings)"/>
      </rPr>
      <t>red</t>
    </r>
    <r>
      <rPr>
        <sz val="12"/>
        <color rgb="FF000000"/>
        <rFont val="Arial"/>
        <family val="2"/>
        <scheme val="major"/>
      </rPr>
      <t xml:space="preserve"> when you are farther from 100 percent of the goal for that learner group. If no additional learners are needed to meet the goal for that learner group for that indicator, the dashboard reports </t>
    </r>
    <r>
      <rPr>
        <b/>
        <sz val="12"/>
        <color theme="9"/>
        <rFont val="Arial (Headings)"/>
      </rPr>
      <t>“Goal Met.”</t>
    </r>
    <r>
      <rPr>
        <sz val="12"/>
        <color rgb="FF000000"/>
        <rFont val="Arial"/>
        <family val="2"/>
        <scheme val="major"/>
      </rPr>
      <t xml:space="preserve">  If counts and/or goals have been left blank, the dashboard reports </t>
    </r>
    <r>
      <rPr>
        <b/>
        <sz val="12"/>
        <color rgb="FF484F58"/>
        <rFont val="Arial (Headings)"/>
      </rPr>
      <t xml:space="preserve">“No Goal.” </t>
    </r>
    <r>
      <rPr>
        <sz val="12"/>
        <color rgb="FF000000"/>
        <rFont val="Arial"/>
        <family val="2"/>
        <scheme val="major"/>
      </rPr>
      <t xml:space="preserve">
5. This tab is protected to prevent users from accidentally deleting or changing data. </t>
    </r>
  </si>
  <si>
    <r>
      <rPr>
        <b/>
        <i/>
        <sz val="12"/>
        <color rgb="FF000000"/>
        <rFont val="Arial"/>
        <family val="2"/>
        <scheme val="major"/>
      </rPr>
      <t>Numeric Goals:</t>
    </r>
    <r>
      <rPr>
        <sz val="12"/>
        <color rgb="FF000000"/>
        <rFont val="Arial"/>
        <family val="2"/>
        <scheme val="major"/>
      </rPr>
      <t xml:space="preserve"> See goals for each learner group for each indicator </t>
    </r>
    <r>
      <rPr>
        <b/>
        <sz val="12"/>
        <color rgb="FF000000"/>
        <rFont val="Arial"/>
        <family val="2"/>
        <scheme val="major"/>
      </rPr>
      <t>(cells C4-AH14)</t>
    </r>
    <r>
      <rPr>
        <sz val="12"/>
        <color rgb="FF000000"/>
        <rFont val="Arial"/>
        <family val="2"/>
        <scheme val="major"/>
      </rPr>
      <t xml:space="preserve"> and for the total population for each indicator </t>
    </r>
    <r>
      <rPr>
        <b/>
        <sz val="12"/>
        <color rgb="FF000000"/>
        <rFont val="Arial"/>
        <family val="2"/>
        <scheme val="major"/>
      </rPr>
      <t>(cells B4-B14)</t>
    </r>
    <r>
      <rPr>
        <sz val="12"/>
        <color rgb="FF000000"/>
        <rFont val="Arial"/>
        <family val="2"/>
        <scheme val="major"/>
      </rPr>
      <t xml:space="preserve"> as a number based on the goal percentages you entered in the “Goals Entered by User” tab. The current representation of each learner group in the community </t>
    </r>
    <r>
      <rPr>
        <b/>
        <sz val="12"/>
        <color rgb="FF000000"/>
        <rFont val="Arial"/>
        <family val="2"/>
        <scheme val="major"/>
      </rPr>
      <t>(row 3)</t>
    </r>
    <r>
      <rPr>
        <sz val="12"/>
        <color rgb="FF000000"/>
        <rFont val="Arial"/>
        <family val="2"/>
        <scheme val="major"/>
      </rPr>
      <t xml:space="preserve"> is provided as a reference. If you omitted counts and/or goals for a learner group or an indicator, the tool reports </t>
    </r>
    <r>
      <rPr>
        <b/>
        <sz val="12"/>
        <color rgb="FF484F58"/>
        <rFont val="Arial (Headings)"/>
      </rPr>
      <t xml:space="preserve">“No Goal.” </t>
    </r>
    <r>
      <rPr>
        <sz val="12"/>
        <color rgb="FF000000"/>
        <rFont val="Arial"/>
        <family val="2"/>
        <scheme val="major"/>
      </rPr>
      <t xml:space="preserve"> </t>
    </r>
  </si>
  <si>
    <r>
      <rPr>
        <b/>
        <i/>
        <sz val="12"/>
        <color rgb="FF000000"/>
        <rFont val="Arial"/>
        <family val="2"/>
        <scheme val="major"/>
      </rPr>
      <t>Count Remaining to Goal:</t>
    </r>
    <r>
      <rPr>
        <b/>
        <sz val="12"/>
        <color rgb="FF000000"/>
        <rFont val="Arial"/>
        <family val="2"/>
        <scheme val="major"/>
      </rPr>
      <t xml:space="preserve"> </t>
    </r>
    <r>
      <rPr>
        <sz val="12"/>
        <color rgb="FF000000"/>
        <rFont val="Arial"/>
        <family val="2"/>
        <scheme val="major"/>
      </rPr>
      <t xml:space="preserve">See how many more learners need to be engaged to meet goals for each learner group for each indicator </t>
    </r>
    <r>
      <rPr>
        <b/>
        <sz val="12"/>
        <color rgb="FF000000"/>
        <rFont val="Arial"/>
        <family val="2"/>
        <scheme val="major"/>
      </rPr>
      <t>(cells B4-AG14).</t>
    </r>
    <r>
      <rPr>
        <sz val="12"/>
        <color rgb="FF000000"/>
        <rFont val="Arial"/>
        <family val="2"/>
        <scheme val="major"/>
      </rPr>
      <t xml:space="preserve"> A color scale highlights where numeric growth to goal is highest </t>
    </r>
    <r>
      <rPr>
        <b/>
        <sz val="12"/>
        <color rgb="FFC00000"/>
        <rFont val="Arial"/>
        <family val="2"/>
        <scheme val="major"/>
      </rPr>
      <t>(</t>
    </r>
    <r>
      <rPr>
        <b/>
        <sz val="12"/>
        <color rgb="FFC00000"/>
        <rFont val="Arial (Headings)"/>
      </rPr>
      <t>dark red</t>
    </r>
    <r>
      <rPr>
        <b/>
        <sz val="12"/>
        <color rgb="FFC00000"/>
        <rFont val="Arial"/>
        <family val="2"/>
        <scheme val="major"/>
      </rPr>
      <t>)</t>
    </r>
    <r>
      <rPr>
        <sz val="12"/>
        <color rgb="FF000000"/>
        <rFont val="Arial"/>
        <family val="2"/>
        <scheme val="major"/>
      </rPr>
      <t xml:space="preserve"> and lowest </t>
    </r>
    <r>
      <rPr>
        <b/>
        <sz val="12"/>
        <color theme="9" tint="-0.249977111117893"/>
        <rFont val="Arial"/>
        <family val="2"/>
        <scheme val="major"/>
      </rPr>
      <t>(</t>
    </r>
    <r>
      <rPr>
        <b/>
        <sz val="12"/>
        <color theme="9" tint="-0.249977111117893"/>
        <rFont val="Arial (Headings)"/>
      </rPr>
      <t>dark green</t>
    </r>
    <r>
      <rPr>
        <b/>
        <sz val="12"/>
        <color theme="9" tint="-0.249977111117893"/>
        <rFont val="Arial"/>
        <family val="2"/>
        <scheme val="major"/>
      </rPr>
      <t>)</t>
    </r>
    <r>
      <rPr>
        <sz val="12"/>
        <color rgb="FF000000"/>
        <rFont val="Arial"/>
        <family val="2"/>
        <scheme val="major"/>
      </rPr>
      <t xml:space="preserve"> to help you prioritize. If no additional learners are needed to meet the goal for that learner group for that indicator, the tool reports </t>
    </r>
    <r>
      <rPr>
        <b/>
        <sz val="12"/>
        <color rgb="FF7BB801"/>
        <rFont val="Arial (Headings)"/>
      </rPr>
      <t>“Goal Met.”</t>
    </r>
    <r>
      <rPr>
        <sz val="12"/>
        <color rgb="FF000000"/>
        <rFont val="Arial"/>
        <family val="2"/>
        <scheme val="major"/>
      </rPr>
      <t xml:space="preserve"> If you omitted counts and/or goals for a learner group or an indicator, the tool shows empty cells. </t>
    </r>
  </si>
  <si>
    <r>
      <rPr>
        <b/>
        <i/>
        <sz val="12"/>
        <color theme="1"/>
        <rFont val="Arial"/>
        <family val="2"/>
        <scheme val="major"/>
      </rPr>
      <t>Percent Remaining to Goal:</t>
    </r>
    <r>
      <rPr>
        <sz val="12"/>
        <color theme="1"/>
        <rFont val="Arial"/>
        <family val="2"/>
        <scheme val="major"/>
      </rPr>
      <t xml:space="preserve"> See how many more learners need to be engaged to reach goals for each learner group for each indicator as a percentage </t>
    </r>
    <r>
      <rPr>
        <b/>
        <sz val="12"/>
        <color theme="1"/>
        <rFont val="Arial"/>
        <family val="2"/>
        <scheme val="major"/>
      </rPr>
      <t>(cells B61-AG71).</t>
    </r>
    <r>
      <rPr>
        <sz val="12"/>
        <color theme="1"/>
        <rFont val="Arial"/>
        <family val="2"/>
        <scheme val="major"/>
      </rPr>
      <t xml:space="preserve"> A color scale highlights where the percentage-point increase needed to meet the goal is highest </t>
    </r>
    <r>
      <rPr>
        <b/>
        <sz val="12"/>
        <color rgb="FFC00000"/>
        <rFont val="Arial"/>
        <family val="2"/>
        <scheme val="major"/>
      </rPr>
      <t>(</t>
    </r>
    <r>
      <rPr>
        <b/>
        <sz val="12"/>
        <color rgb="FFC00000"/>
        <rFont val="Arial (Headings)"/>
      </rPr>
      <t>dark red</t>
    </r>
    <r>
      <rPr>
        <b/>
        <sz val="12"/>
        <color rgb="FFC00000"/>
        <rFont val="Arial"/>
        <family val="2"/>
        <scheme val="major"/>
      </rPr>
      <t xml:space="preserve">) </t>
    </r>
    <r>
      <rPr>
        <sz val="12"/>
        <color theme="1"/>
        <rFont val="Arial"/>
        <family val="2"/>
        <scheme val="major"/>
      </rPr>
      <t xml:space="preserve">and lowest </t>
    </r>
    <r>
      <rPr>
        <b/>
        <sz val="12"/>
        <color theme="9" tint="-0.249977111117893"/>
        <rFont val="Arial"/>
        <family val="2"/>
        <scheme val="major"/>
      </rPr>
      <t>(</t>
    </r>
    <r>
      <rPr>
        <b/>
        <sz val="12"/>
        <color theme="9" tint="-0.249977111117893"/>
        <rFont val="Arial (Headings)"/>
      </rPr>
      <t>dark green</t>
    </r>
    <r>
      <rPr>
        <b/>
        <sz val="12"/>
        <color theme="9" tint="-0.249977111117893"/>
        <rFont val="Arial"/>
        <family val="2"/>
        <scheme val="major"/>
      </rPr>
      <t>)</t>
    </r>
    <r>
      <rPr>
        <sz val="12"/>
        <color theme="1"/>
        <rFont val="Arial"/>
        <family val="2"/>
        <scheme val="major"/>
      </rPr>
      <t xml:space="preserve"> to help you prioritize. If no additional learners are needed to meet the goal for that learner group for that indicator, the tool reports </t>
    </r>
    <r>
      <rPr>
        <b/>
        <sz val="12"/>
        <color rgb="FF7BB801"/>
        <rFont val="Arial (Headings)"/>
      </rPr>
      <t>“Goal Met.”</t>
    </r>
    <r>
      <rPr>
        <sz val="12"/>
        <color theme="1"/>
        <rFont val="Arial"/>
        <family val="2"/>
        <scheme val="major"/>
      </rPr>
      <t xml:space="preserve"> If you omitted counts and/or goals for a learner group or an indicator, the tool shows empty cells.</t>
    </r>
  </si>
  <si>
    <t>Number of CTE participants as calculated for Perkins V enrolled in high-wage, in-demand career pathways</t>
  </si>
  <si>
    <t>Number of CTE concentrators as calculated for Perkins V enrolled in high-wage, in-demand career pathways</t>
  </si>
  <si>
    <t>Number of CTE concentrators who have completed advanced coursework such as Advanced Placement, International Baccalaureate, and/or dual or concurrent enrollment courses (secondary); number of learners who have completed higher-level coursework (postsecondary)</t>
  </si>
  <si>
    <t xml:space="preserve">Number of CTE concentrators who were enrolled in high-wage, in-demand career pathways and were placed in postsecondary education, advanced training or the workforce after completing a CTE program as calculated for Perkins V </t>
  </si>
  <si>
    <t>Number of CTE concentrators who, after completing a CTE program, earned at or above the state’s definition of “high wage” and were enrolled in high-wage, in-demand career pathways</t>
  </si>
  <si>
    <t xml:space="preserve">Color Legend — Percentage Points Remaining to Goal: </t>
  </si>
  <si>
    <r>
      <t xml:space="preserve">The Achieving Inclusive CTE Goal-Setting Tool is a free resource developed through JPMorgan Chase &amp; Co.’s </t>
    </r>
    <r>
      <rPr>
        <i/>
        <sz val="12"/>
        <color theme="1"/>
        <rFont val="Arial"/>
        <family val="2"/>
        <scheme val="major"/>
      </rPr>
      <t xml:space="preserve">New Skills ready network, </t>
    </r>
    <r>
      <rPr>
        <sz val="12"/>
        <color theme="1"/>
        <rFont val="Arial"/>
        <family val="2"/>
        <scheme val="major"/>
      </rPr>
      <t xml:space="preserve">a partnership of Advance CTE and Education Strategy Group. It is designed to help users assess and improve representativeness across three categories of indicators — access to CTE, success within CTE programs and CTE post-program outcomes — for different learner groups across a state or local system. 
The tool considers 11 indicators for learner groups across gender, race and ethnicity, and key special populations — learners with disabilities, economically disadvantaged learners, English learners and migrant learners. Users have the option to disaggregate by gender for each learner group, if they choose. 
This Excel workbook guides users through a process of </t>
    </r>
    <r>
      <rPr>
        <b/>
        <sz val="12"/>
        <color theme="1"/>
        <rFont val="Arial"/>
        <family val="2"/>
        <scheme val="major"/>
      </rPr>
      <t>entering data</t>
    </r>
    <r>
      <rPr>
        <sz val="12"/>
        <color theme="1"/>
        <rFont val="Arial"/>
        <family val="2"/>
        <scheme val="major"/>
      </rPr>
      <t xml:space="preserve"> and </t>
    </r>
    <r>
      <rPr>
        <b/>
        <sz val="12"/>
        <color theme="1"/>
        <rFont val="Arial"/>
        <family val="2"/>
        <scheme val="major"/>
      </rPr>
      <t>setting goals</t>
    </r>
    <r>
      <rPr>
        <sz val="12"/>
        <color theme="1"/>
        <rFont val="Arial"/>
        <family val="2"/>
        <scheme val="major"/>
      </rPr>
      <t xml:space="preserve"> for each indicator and learner group — or for the subset of indicators or learner groups that are most relevant in a state or local context — and then shows users </t>
    </r>
    <r>
      <rPr>
        <b/>
        <sz val="12"/>
        <color theme="1"/>
        <rFont val="Arial"/>
        <family val="2"/>
        <scheme val="major"/>
      </rPr>
      <t>how many more learners would need to be engaged</t>
    </r>
    <r>
      <rPr>
        <sz val="12"/>
        <color theme="1"/>
        <rFont val="Arial"/>
        <family val="2"/>
        <scheme val="major"/>
      </rPr>
      <t xml:space="preserve"> from each special population and demographic group to meet those goals. With this quantitative data in mind, state and local CTE leaders can then bring to bear their root cause analysis and continuous improvement processes to identify strategies to increase the representativeness of learner groups in CTE.
The following directions guide you through each step of this workbook. To learn more about how this workbook was developed and how you can use it effectively, please consult the Achieving Inclusive CTE Companion Manual (http://bit.ly/3gHouQc).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</si>
</sst>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63"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b/>
      <sz val="20"/>
      <name val="Arial"/>
      <family val="2"/>
      <scheme val="major"/>
    </font>
    <font>
      <sz val="11"/>
      <color theme="1"/>
      <name val="Arial"/>
      <family val="2"/>
      <scheme val="major"/>
    </font>
    <font>
      <i/>
      <sz val="12"/>
      <color theme="1"/>
      <name val="Arial"/>
      <family val="2"/>
      <scheme val="major"/>
    </font>
    <font>
      <i/>
      <sz val="11"/>
      <color theme="1"/>
      <name val="Arial"/>
      <family val="2"/>
      <scheme val="major"/>
    </font>
    <font>
      <b/>
      <sz val="12"/>
      <color theme="0"/>
      <name val="Arial"/>
      <family val="2"/>
      <scheme val="major"/>
    </font>
    <font>
      <b/>
      <sz val="12"/>
      <color theme="1"/>
      <name val="Arial"/>
      <family val="2"/>
      <scheme val="major"/>
    </font>
    <font>
      <sz val="12"/>
      <color theme="1"/>
      <name val="Arial"/>
      <family val="2"/>
      <scheme val="major"/>
    </font>
    <font>
      <b/>
      <i/>
      <sz val="11"/>
      <name val="Arial"/>
      <family val="2"/>
      <scheme val="major"/>
    </font>
    <font>
      <b/>
      <sz val="11"/>
      <color theme="1"/>
      <name val="Arial"/>
      <family val="2"/>
      <scheme val="major"/>
    </font>
    <font>
      <b/>
      <sz val="11"/>
      <color theme="0"/>
      <name val="Arial"/>
      <family val="2"/>
      <scheme val="major"/>
    </font>
    <font>
      <b/>
      <sz val="11"/>
      <color rgb="FFFF0000"/>
      <name val="Arial"/>
      <family val="2"/>
      <scheme val="major"/>
    </font>
    <font>
      <sz val="11"/>
      <color rgb="FFFF0000"/>
      <name val="Arial"/>
      <family val="2"/>
      <scheme val="major"/>
    </font>
    <font>
      <b/>
      <i/>
      <sz val="11"/>
      <color rgb="FFFF0000"/>
      <name val="Arial"/>
      <family val="2"/>
      <scheme val="major"/>
    </font>
    <font>
      <b/>
      <i/>
      <sz val="12"/>
      <color theme="1"/>
      <name val="Arial"/>
      <family val="2"/>
      <scheme val="major"/>
    </font>
    <font>
      <sz val="14"/>
      <color theme="1"/>
      <name val="Arial"/>
      <family val="2"/>
      <scheme val="major"/>
    </font>
    <font>
      <sz val="10"/>
      <color theme="1"/>
      <name val="Arial"/>
      <family val="2"/>
      <scheme val="major"/>
    </font>
    <font>
      <b/>
      <sz val="12"/>
      <name val="Arial"/>
      <family val="2"/>
      <scheme val="major"/>
    </font>
    <font>
      <b/>
      <u/>
      <sz val="24"/>
      <color theme="1"/>
      <name val="Arial"/>
      <family val="2"/>
      <scheme val="major"/>
    </font>
    <font>
      <b/>
      <sz val="14"/>
      <color theme="1"/>
      <name val="Arial"/>
      <family val="2"/>
      <scheme val="major"/>
    </font>
    <font>
      <b/>
      <sz val="10"/>
      <color theme="1"/>
      <name val="Arial"/>
      <family val="2"/>
      <scheme val="major"/>
    </font>
    <font>
      <sz val="11"/>
      <name val="Arial"/>
      <family val="2"/>
      <scheme val="major"/>
    </font>
    <font>
      <b/>
      <u/>
      <sz val="20"/>
      <color rgb="FF004077"/>
      <name val="Arial"/>
      <family val="2"/>
      <scheme val="major"/>
    </font>
    <font>
      <b/>
      <sz val="12"/>
      <color rgb="FF004077"/>
      <name val="Arial"/>
      <family val="2"/>
      <scheme val="major"/>
    </font>
    <font>
      <b/>
      <i/>
      <sz val="12"/>
      <color rgb="FF004077"/>
      <name val="Arial"/>
      <family val="2"/>
      <scheme val="major"/>
    </font>
    <font>
      <sz val="12"/>
      <color theme="0"/>
      <name val="Arial"/>
      <family val="2"/>
      <scheme val="major"/>
    </font>
    <font>
      <b/>
      <u/>
      <sz val="18"/>
      <color rgb="FF004077"/>
      <name val="Arial"/>
      <family val="2"/>
      <scheme val="major"/>
    </font>
    <font>
      <b/>
      <u/>
      <sz val="24"/>
      <color rgb="FF004077"/>
      <name val="Arial"/>
      <family val="2"/>
      <scheme val="major"/>
    </font>
    <font>
      <b/>
      <sz val="24"/>
      <color rgb="FF004077"/>
      <name val="Arial"/>
      <family val="2"/>
      <scheme val="major"/>
    </font>
    <font>
      <u/>
      <sz val="11"/>
      <color theme="10"/>
      <name val="Arial"/>
      <family val="2"/>
      <scheme val="minor"/>
    </font>
    <font>
      <sz val="11"/>
      <color rgb="FF000000"/>
      <name val="Arial"/>
      <family val="2"/>
      <scheme val="major"/>
    </font>
    <font>
      <b/>
      <sz val="14"/>
      <color theme="0"/>
      <name val="Arial"/>
      <family val="2"/>
      <scheme val="major"/>
    </font>
    <font>
      <i/>
      <sz val="14"/>
      <color theme="0"/>
      <name val="Arial"/>
      <family val="2"/>
      <scheme val="major"/>
    </font>
    <font>
      <sz val="14"/>
      <color theme="0"/>
      <name val="Arial"/>
      <family val="2"/>
      <scheme val="major"/>
    </font>
    <font>
      <sz val="12"/>
      <color rgb="FF000000"/>
      <name val="Arial"/>
      <family val="2"/>
      <scheme val="major"/>
    </font>
    <font>
      <b/>
      <sz val="12"/>
      <color rgb="FF000000"/>
      <name val="Arial"/>
      <family val="2"/>
      <scheme val="major"/>
    </font>
    <font>
      <b/>
      <i/>
      <sz val="12"/>
      <color rgb="FF000000"/>
      <name val="Arial"/>
      <family val="2"/>
      <scheme val="major"/>
    </font>
    <font>
      <b/>
      <u/>
      <sz val="14"/>
      <color theme="10"/>
      <name val="Arial"/>
      <family val="2"/>
      <scheme val="minor"/>
    </font>
    <font>
      <b/>
      <i/>
      <sz val="10"/>
      <color theme="0"/>
      <name val="Arial (Headings)"/>
    </font>
    <font>
      <b/>
      <u/>
      <sz val="14"/>
      <color theme="0"/>
      <name val="Arial"/>
      <family val="2"/>
      <scheme val="major"/>
    </font>
    <font>
      <b/>
      <u/>
      <sz val="14"/>
      <color theme="0"/>
      <name val="Arial (Headings)"/>
    </font>
    <font>
      <u/>
      <sz val="14"/>
      <color theme="0"/>
      <name val="Arial (Headings)"/>
    </font>
    <font>
      <b/>
      <sz val="12"/>
      <color theme="9"/>
      <name val="Arial (Headings)"/>
    </font>
    <font>
      <b/>
      <sz val="12"/>
      <color rgb="FF484F58"/>
      <name val="Arial (Headings)"/>
    </font>
    <font>
      <b/>
      <sz val="12"/>
      <color rgb="FF7BB801"/>
      <name val="Arial (Headings)"/>
    </font>
    <font>
      <b/>
      <sz val="12"/>
      <color rgb="FFC00000"/>
      <name val="Arial (Headings)"/>
    </font>
    <font>
      <b/>
      <sz val="12"/>
      <color theme="9" tint="-0.249977111117893"/>
      <name val="Arial (Headings)"/>
    </font>
    <font>
      <b/>
      <sz val="12"/>
      <color rgb="FFFF0000"/>
      <name val="Arial (Headings)"/>
    </font>
    <font>
      <b/>
      <i/>
      <sz val="11"/>
      <color rgb="FF004077"/>
      <name val="Arial"/>
      <family val="2"/>
      <scheme val="major"/>
    </font>
    <font>
      <b/>
      <i/>
      <sz val="11"/>
      <color rgb="FF009AA6"/>
      <name val="Arial (Headings)"/>
    </font>
    <font>
      <b/>
      <i/>
      <sz val="12"/>
      <color theme="0"/>
      <name val="Arial"/>
      <family val="2"/>
      <scheme val="major"/>
    </font>
    <font>
      <b/>
      <u/>
      <sz val="15"/>
      <color rgb="FF004077"/>
      <name val="Arial"/>
      <family val="2"/>
      <scheme val="major"/>
    </font>
    <font>
      <b/>
      <sz val="12"/>
      <color rgb="FF00B050"/>
      <name val="Arial (Headings)"/>
    </font>
    <font>
      <b/>
      <sz val="12"/>
      <color rgb="FFFF4F4F"/>
      <name val="Arial (Headings)"/>
    </font>
    <font>
      <b/>
      <i/>
      <sz val="12"/>
      <color rgb="FF00B050"/>
      <name val="Arial (Headings)"/>
    </font>
    <font>
      <b/>
      <i/>
      <sz val="12"/>
      <color rgb="FFFF4F4F"/>
      <name val="Arial (Headings)"/>
    </font>
    <font>
      <b/>
      <sz val="12"/>
      <color rgb="FF00B050"/>
      <name val="Arial"/>
      <family val="2"/>
      <scheme val="major"/>
    </font>
    <font>
      <b/>
      <sz val="12"/>
      <color rgb="FFC00000"/>
      <name val="Arial"/>
      <family val="2"/>
      <scheme val="major"/>
    </font>
    <font>
      <b/>
      <sz val="12"/>
      <color theme="9" tint="-0.249977111117893"/>
      <name val="Arial"/>
      <family val="2"/>
      <scheme val="major"/>
    </font>
    <font>
      <b/>
      <sz val="12"/>
      <color rgb="FF004077"/>
      <name val="Arial (Headings)"/>
    </font>
  </fonts>
  <fills count="30">
    <fill>
      <patternFill patternType="none"/>
    </fill>
    <fill>
      <patternFill patternType="gray125"/>
    </fill>
    <fill>
      <patternFill patternType="solid">
        <fgColor rgb="FFE2EFD9"/>
        <bgColor rgb="FFE2EFD9"/>
      </patternFill>
    </fill>
    <fill>
      <patternFill patternType="solid">
        <fgColor rgb="FFDEEAF6"/>
        <bgColor rgb="FFDEEAF6"/>
      </patternFill>
    </fill>
    <fill>
      <patternFill patternType="solid">
        <fgColor rgb="FFFEF2CB"/>
        <bgColor rgb="FFFEF2CB"/>
      </patternFill>
    </fill>
    <fill>
      <patternFill patternType="solid">
        <fgColor rgb="FFBDD6EE"/>
        <bgColor rgb="FFBDD6EE"/>
      </patternFill>
    </fill>
    <fill>
      <patternFill patternType="solid">
        <fgColor rgb="FFD8D8D8"/>
        <bgColor rgb="FFD8D8D8"/>
      </patternFill>
    </fill>
    <fill>
      <patternFill patternType="solid">
        <fgColor theme="0"/>
        <bgColor rgb="FFD8D8D8"/>
      </patternFill>
    </fill>
    <fill>
      <patternFill patternType="solid">
        <fgColor theme="7" tint="0.59999389629810485"/>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bgColor indexed="64"/>
      </patternFill>
    </fill>
    <fill>
      <patternFill patternType="solid">
        <fgColor theme="0"/>
        <bgColor rgb="FFE2EFD9"/>
      </patternFill>
    </fill>
    <fill>
      <patternFill patternType="solid">
        <fgColor theme="0"/>
        <bgColor rgb="FFDEEAF6"/>
      </patternFill>
    </fill>
    <fill>
      <patternFill patternType="solid">
        <fgColor theme="0"/>
        <bgColor rgb="FFFEF2CB"/>
      </patternFill>
    </fill>
    <fill>
      <patternFill patternType="solid">
        <fgColor theme="0"/>
        <bgColor rgb="FFFFC1C1"/>
      </patternFill>
    </fill>
    <fill>
      <patternFill patternType="solid">
        <fgColor theme="0"/>
        <bgColor rgb="FFDFC9EF"/>
      </patternFill>
    </fill>
    <fill>
      <patternFill patternType="solid">
        <fgColor theme="0"/>
        <bgColor rgb="FFBDD6EE"/>
      </patternFill>
    </fill>
    <fill>
      <patternFill patternType="solid">
        <fgColor theme="0"/>
        <bgColor rgb="FFFBE4D5"/>
      </patternFill>
    </fill>
    <fill>
      <patternFill patternType="solid">
        <fgColor theme="8" tint="-0.249977111117893"/>
        <bgColor rgb="FFBDD6EE"/>
      </patternFill>
    </fill>
    <fill>
      <patternFill patternType="solid">
        <fgColor theme="8" tint="-0.249977111117893"/>
        <bgColor rgb="FFFEF2CB"/>
      </patternFill>
    </fill>
    <fill>
      <patternFill patternType="solid">
        <fgColor rgb="FF92D050"/>
        <bgColor indexed="64"/>
      </patternFill>
    </fill>
    <fill>
      <patternFill patternType="solid">
        <fgColor rgb="FF00B050"/>
        <bgColor indexed="64"/>
      </patternFill>
    </fill>
    <fill>
      <patternFill patternType="solid">
        <fgColor rgb="FFFF9B9B"/>
        <bgColor indexed="64"/>
      </patternFill>
    </fill>
    <fill>
      <patternFill patternType="solid">
        <fgColor theme="0" tint="-0.14999847407452621"/>
        <bgColor indexed="64"/>
      </patternFill>
    </fill>
    <fill>
      <patternFill patternType="solid">
        <fgColor rgb="FF004077"/>
        <bgColor indexed="64"/>
      </patternFill>
    </fill>
    <fill>
      <patternFill patternType="solid">
        <fgColor rgb="FF009AA6"/>
        <bgColor indexed="64"/>
      </patternFill>
    </fill>
    <fill>
      <patternFill patternType="solid">
        <fgColor theme="4" tint="0.79998168889431442"/>
        <bgColor rgb="FFD8D8D8"/>
      </patternFill>
    </fill>
    <fill>
      <patternFill patternType="solid">
        <fgColor rgb="FFFF4F4F"/>
        <bgColor indexed="64"/>
      </patternFill>
    </fill>
    <fill>
      <patternFill patternType="solid">
        <fgColor rgb="FFFFFF00"/>
        <bgColor indexed="64"/>
      </patternFill>
    </fill>
  </fills>
  <borders count="40">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000000"/>
      </left>
      <right style="thin">
        <color rgb="FF000000"/>
      </right>
      <top/>
      <bottom style="thin">
        <color rgb="FF000000"/>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s>
  <cellStyleXfs count="6">
    <xf numFmtId="0" fontId="0" fillId="0" borderId="0"/>
    <xf numFmtId="9" fontId="2" fillId="0" borderId="0" applyFont="0" applyFill="0" applyBorder="0" applyAlignment="0" applyProtection="0"/>
    <xf numFmtId="43" fontId="3" fillId="0" borderId="0" applyFont="0" applyFill="0" applyBorder="0" applyAlignment="0" applyProtection="0"/>
    <xf numFmtId="0" fontId="32" fillId="0" borderId="0" applyNumberFormat="0" applyFill="0" applyBorder="0" applyAlignment="0" applyProtection="0"/>
    <xf numFmtId="0" fontId="1" fillId="0" borderId="4"/>
    <xf numFmtId="0" fontId="32" fillId="0" borderId="4" applyNumberFormat="0" applyFill="0" applyBorder="0" applyAlignment="0" applyProtection="0"/>
  </cellStyleXfs>
  <cellXfs count="228">
    <xf numFmtId="0" fontId="0" fillId="0" borderId="0" xfId="0"/>
    <xf numFmtId="0" fontId="4" fillId="0" borderId="4" xfId="0" applyFont="1" applyBorder="1" applyAlignment="1">
      <alignment vertical="center"/>
    </xf>
    <xf numFmtId="0" fontId="5" fillId="0" borderId="0" xfId="0" applyFont="1" applyAlignment="1">
      <alignment vertical="center"/>
    </xf>
    <xf numFmtId="0" fontId="7" fillId="0" borderId="0" xfId="0" applyFont="1" applyAlignment="1">
      <alignment vertical="center"/>
    </xf>
    <xf numFmtId="0" fontId="8" fillId="25" borderId="5" xfId="0" applyFont="1" applyFill="1" applyBorder="1" applyAlignment="1">
      <alignment horizontal="center" vertical="center"/>
    </xf>
    <xf numFmtId="0" fontId="9" fillId="0" borderId="5" xfId="0" applyFont="1" applyBorder="1" applyAlignment="1">
      <alignment horizontal="left" vertical="center" wrapText="1"/>
    </xf>
    <xf numFmtId="0" fontId="10" fillId="0" borderId="5" xfId="0" applyFont="1" applyBorder="1" applyAlignment="1">
      <alignment horizontal="left" vertical="center" wrapText="1"/>
    </xf>
    <xf numFmtId="0" fontId="5" fillId="0" borderId="0" xfId="0" applyFont="1" applyAlignment="1">
      <alignment horizontal="left" vertical="center"/>
    </xf>
    <xf numFmtId="0" fontId="5" fillId="0" borderId="4" xfId="0" applyFont="1" applyBorder="1"/>
    <xf numFmtId="0" fontId="12" fillId="5" borderId="21" xfId="0" applyFont="1" applyFill="1" applyBorder="1" applyAlignment="1">
      <alignment horizontal="center" vertical="center" wrapText="1"/>
    </xf>
    <xf numFmtId="0" fontId="13" fillId="19" borderId="26"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13" fillId="19" borderId="27"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vertical="center"/>
    </xf>
    <xf numFmtId="0" fontId="9" fillId="6" borderId="5" xfId="0" applyFont="1" applyFill="1" applyBorder="1" applyAlignment="1">
      <alignment wrapText="1"/>
    </xf>
    <xf numFmtId="3" fontId="5" fillId="6" borderId="23" xfId="0" applyNumberFormat="1" applyFont="1" applyFill="1" applyBorder="1" applyAlignment="1">
      <alignment horizontal="center" vertical="center" wrapText="1"/>
    </xf>
    <xf numFmtId="3" fontId="5" fillId="0" borderId="20" xfId="0" applyNumberFormat="1" applyFont="1" applyBorder="1" applyAlignment="1" applyProtection="1">
      <alignment horizontal="center" vertical="center" wrapText="1"/>
      <protection locked="0"/>
    </xf>
    <xf numFmtId="0" fontId="5" fillId="10" borderId="20" xfId="0" applyFont="1" applyFill="1" applyBorder="1" applyAlignment="1">
      <alignment horizontal="center" vertical="center" wrapText="1"/>
    </xf>
    <xf numFmtId="1" fontId="5" fillId="10" borderId="20" xfId="0" applyNumberFormat="1" applyFont="1" applyFill="1" applyBorder="1" applyAlignment="1" applyProtection="1">
      <alignment horizontal="center" vertical="center" wrapText="1"/>
      <protection locked="0"/>
    </xf>
    <xf numFmtId="0" fontId="5" fillId="10" borderId="20" xfId="0" applyFont="1" applyFill="1" applyBorder="1" applyAlignment="1" applyProtection="1">
      <alignment horizontal="center" vertical="center" wrapText="1"/>
      <protection locked="0"/>
    </xf>
    <xf numFmtId="3" fontId="5" fillId="0" borderId="20" xfId="0" applyNumberFormat="1" applyFont="1" applyBorder="1" applyAlignment="1">
      <alignment horizontal="center" vertical="center" wrapText="1"/>
    </xf>
    <xf numFmtId="1" fontId="5" fillId="0" borderId="20" xfId="0" applyNumberFormat="1" applyFont="1" applyBorder="1" applyAlignment="1" applyProtection="1">
      <alignment horizontal="center" vertical="center" wrapText="1"/>
      <protection locked="0"/>
    </xf>
    <xf numFmtId="3" fontId="5" fillId="10" borderId="20" xfId="0" applyNumberFormat="1" applyFont="1" applyFill="1" applyBorder="1" applyAlignment="1">
      <alignment horizontal="center" vertical="center" wrapText="1"/>
    </xf>
    <xf numFmtId="1" fontId="5" fillId="0" borderId="20" xfId="0" applyNumberFormat="1" applyFont="1" applyBorder="1" applyAlignment="1">
      <alignment horizontal="center" vertical="center" wrapText="1"/>
    </xf>
    <xf numFmtId="1" fontId="5" fillId="10" borderId="20" xfId="0" applyNumberFormat="1" applyFont="1" applyFill="1" applyBorder="1" applyAlignment="1">
      <alignment horizontal="center" vertical="center" wrapText="1"/>
    </xf>
    <xf numFmtId="1" fontId="5" fillId="0" borderId="24" xfId="0" applyNumberFormat="1" applyFont="1" applyBorder="1" applyAlignment="1">
      <alignment horizontal="center" vertical="center" wrapText="1"/>
    </xf>
    <xf numFmtId="0" fontId="5" fillId="0" borderId="4" xfId="0" applyFont="1" applyBorder="1" applyAlignment="1">
      <alignment wrapText="1"/>
    </xf>
    <xf numFmtId="3" fontId="5" fillId="0" borderId="4" xfId="0" applyNumberFormat="1" applyFont="1" applyBorder="1" applyAlignment="1">
      <alignment wrapText="1"/>
    </xf>
    <xf numFmtId="3" fontId="5" fillId="0" borderId="1" xfId="0" applyNumberFormat="1" applyFont="1" applyBorder="1" applyAlignment="1" applyProtection="1">
      <alignment horizontal="center" vertical="center" wrapText="1"/>
      <protection locked="0"/>
    </xf>
    <xf numFmtId="0" fontId="5" fillId="10" borderId="1" xfId="0" applyFont="1" applyFill="1" applyBorder="1" applyAlignment="1">
      <alignment horizontal="center" vertical="center" wrapText="1"/>
    </xf>
    <xf numFmtId="1" fontId="5" fillId="10" borderId="1" xfId="0" applyNumberFormat="1" applyFont="1" applyFill="1" applyBorder="1" applyAlignment="1" applyProtection="1">
      <alignment horizontal="center" vertical="center" wrapText="1"/>
      <protection locked="0"/>
    </xf>
    <xf numFmtId="0" fontId="5" fillId="10" borderId="1" xfId="0" applyFont="1" applyFill="1" applyBorder="1" applyAlignment="1" applyProtection="1">
      <alignment horizontal="center" vertical="center" wrapText="1"/>
      <protection locked="0"/>
    </xf>
    <xf numFmtId="3" fontId="5" fillId="0" borderId="1" xfId="0" applyNumberFormat="1" applyFont="1" applyBorder="1" applyAlignment="1">
      <alignment horizontal="center" vertical="center" wrapText="1"/>
    </xf>
    <xf numFmtId="1" fontId="5" fillId="0" borderId="1" xfId="0" applyNumberFormat="1" applyFont="1" applyBorder="1" applyAlignment="1" applyProtection="1">
      <alignment horizontal="center" vertical="center" wrapText="1"/>
      <protection locked="0"/>
    </xf>
    <xf numFmtId="3" fontId="5" fillId="10" borderId="1" xfId="0" applyNumberFormat="1" applyFont="1" applyFill="1" applyBorder="1" applyAlignment="1">
      <alignment horizontal="center" vertical="center" wrapText="1"/>
    </xf>
    <xf numFmtId="1" fontId="5" fillId="0" borderId="1" xfId="0" applyNumberFormat="1" applyFont="1" applyBorder="1" applyAlignment="1">
      <alignment horizontal="center" vertical="center" wrapText="1"/>
    </xf>
    <xf numFmtId="1" fontId="5" fillId="10" borderId="1" xfId="0" applyNumberFormat="1" applyFont="1" applyFill="1" applyBorder="1" applyAlignment="1">
      <alignment horizontal="center" vertical="center" wrapText="1"/>
    </xf>
    <xf numFmtId="1" fontId="5" fillId="0" borderId="3" xfId="0" applyNumberFormat="1" applyFont="1" applyBorder="1" applyAlignment="1">
      <alignment horizontal="center" vertical="center" wrapText="1"/>
    </xf>
    <xf numFmtId="0" fontId="14" fillId="0" borderId="4" xfId="0" applyFont="1" applyBorder="1" applyAlignment="1">
      <alignment horizontal="center" wrapText="1"/>
    </xf>
    <xf numFmtId="0" fontId="15" fillId="0" borderId="4" xfId="0" applyFont="1" applyBorder="1" applyAlignment="1">
      <alignment horizontal="right" wrapText="1"/>
    </xf>
    <xf numFmtId="3" fontId="14" fillId="0" borderId="4" xfId="2" applyNumberFormat="1" applyFont="1" applyBorder="1" applyAlignment="1">
      <alignment horizontal="center"/>
    </xf>
    <xf numFmtId="3" fontId="15" fillId="0" borderId="4" xfId="0" applyNumberFormat="1" applyFont="1" applyBorder="1" applyAlignment="1">
      <alignment horizontal="center" wrapText="1"/>
    </xf>
    <xf numFmtId="0" fontId="5" fillId="0" borderId="4" xfId="0" applyFont="1" applyBorder="1" applyAlignment="1">
      <alignment horizontal="center" wrapText="1"/>
    </xf>
    <xf numFmtId="0" fontId="15" fillId="0" borderId="4" xfId="0" applyFont="1" applyBorder="1" applyAlignment="1">
      <alignment horizontal="center" wrapText="1"/>
    </xf>
    <xf numFmtId="0" fontId="15" fillId="0" borderId="4" xfId="0" applyFont="1" applyBorder="1" applyAlignment="1">
      <alignment wrapText="1"/>
    </xf>
    <xf numFmtId="3" fontId="15" fillId="0" borderId="4" xfId="2" applyNumberFormat="1" applyFont="1" applyBorder="1" applyAlignment="1">
      <alignment horizontal="center" wrapText="1"/>
    </xf>
    <xf numFmtId="3" fontId="15" fillId="0" borderId="4" xfId="0" applyNumberFormat="1" applyFont="1" applyBorder="1" applyAlignment="1">
      <alignment wrapText="1"/>
    </xf>
    <xf numFmtId="0" fontId="9" fillId="0" borderId="5" xfId="0" applyFont="1" applyBorder="1" applyAlignment="1">
      <alignment wrapText="1"/>
    </xf>
    <xf numFmtId="0" fontId="12" fillId="5" borderId="25" xfId="0" applyFont="1" applyFill="1" applyBorder="1" applyAlignment="1">
      <alignment horizontal="center" vertical="center" wrapText="1"/>
    </xf>
    <xf numFmtId="10" fontId="5" fillId="6" borderId="12" xfId="0" applyNumberFormat="1" applyFont="1" applyFill="1" applyBorder="1" applyAlignment="1">
      <alignment horizontal="center" vertical="center" wrapText="1"/>
    </xf>
    <xf numFmtId="10" fontId="5" fillId="6" borderId="14" xfId="0" applyNumberFormat="1" applyFont="1" applyFill="1" applyBorder="1" applyAlignment="1">
      <alignment horizontal="center" vertical="center" wrapText="1"/>
    </xf>
    <xf numFmtId="10" fontId="5" fillId="0" borderId="5" xfId="0" applyNumberFormat="1" applyFont="1" applyBorder="1" applyAlignment="1">
      <alignment horizontal="center" vertical="center" wrapText="1"/>
    </xf>
    <xf numFmtId="10" fontId="5" fillId="0" borderId="6" xfId="0" applyNumberFormat="1" applyFont="1" applyBorder="1" applyAlignment="1">
      <alignment horizontal="center" vertical="center" wrapText="1"/>
    </xf>
    <xf numFmtId="0" fontId="16" fillId="0" borderId="4" xfId="0" applyFont="1" applyBorder="1" applyAlignment="1" applyProtection="1">
      <alignment horizontal="center" vertical="center" wrapText="1"/>
      <protection locked="0"/>
    </xf>
    <xf numFmtId="10" fontId="5" fillId="0" borderId="4" xfId="0" applyNumberFormat="1" applyFont="1" applyBorder="1" applyAlignment="1">
      <alignment wrapText="1"/>
    </xf>
    <xf numFmtId="0" fontId="9" fillId="0" borderId="10" xfId="0" applyFont="1" applyBorder="1" applyAlignment="1">
      <alignment wrapText="1"/>
    </xf>
    <xf numFmtId="10" fontId="5" fillId="6" borderId="22" xfId="0" applyNumberFormat="1" applyFont="1" applyFill="1" applyBorder="1" applyAlignment="1">
      <alignment horizontal="center" vertical="center" wrapText="1"/>
    </xf>
    <xf numFmtId="10" fontId="5" fillId="0" borderId="1" xfId="0" applyNumberFormat="1" applyFont="1" applyBorder="1" applyAlignment="1" applyProtection="1">
      <alignment horizontal="center" vertical="center" wrapText="1"/>
      <protection locked="0"/>
    </xf>
    <xf numFmtId="10" fontId="5" fillId="0" borderId="3" xfId="0" applyNumberFormat="1" applyFont="1" applyBorder="1" applyAlignment="1" applyProtection="1">
      <alignment horizontal="center" vertical="center" wrapText="1"/>
      <protection locked="0"/>
    </xf>
    <xf numFmtId="10" fontId="5" fillId="24" borderId="12" xfId="0" applyNumberFormat="1" applyFont="1" applyFill="1" applyBorder="1" applyAlignment="1">
      <alignment horizontal="center" vertical="center" wrapText="1"/>
    </xf>
    <xf numFmtId="10" fontId="5" fillId="24" borderId="5" xfId="0" applyNumberFormat="1" applyFont="1" applyFill="1" applyBorder="1" applyAlignment="1">
      <alignment horizontal="center" vertical="center" wrapText="1"/>
    </xf>
    <xf numFmtId="0" fontId="18" fillId="0" borderId="4" xfId="0" applyFont="1" applyBorder="1" applyAlignment="1">
      <alignment horizontal="left" vertical="center"/>
    </xf>
    <xf numFmtId="0" fontId="16" fillId="0" borderId="4" xfId="0" applyFont="1" applyBorder="1" applyAlignment="1">
      <alignment vertical="center" wrapText="1"/>
    </xf>
    <xf numFmtId="0" fontId="13" fillId="19" borderId="25" xfId="0" applyFont="1" applyFill="1" applyBorder="1" applyAlignment="1">
      <alignment horizontal="center" vertical="center" wrapText="1"/>
    </xf>
    <xf numFmtId="3" fontId="5" fillId="0" borderId="29" xfId="1" applyNumberFormat="1" applyFont="1" applyBorder="1" applyAlignment="1">
      <alignment horizontal="center"/>
    </xf>
    <xf numFmtId="1" fontId="5" fillId="0" borderId="30" xfId="0" quotePrefix="1" applyNumberFormat="1" applyFont="1" applyBorder="1" applyAlignment="1">
      <alignment horizontal="center" vertical="center" wrapText="1"/>
    </xf>
    <xf numFmtId="1" fontId="5" fillId="0" borderId="8" xfId="0" quotePrefix="1" applyNumberFormat="1" applyFont="1" applyBorder="1" applyAlignment="1">
      <alignment horizontal="center" vertical="center" wrapText="1"/>
    </xf>
    <xf numFmtId="1" fontId="5" fillId="0" borderId="7" xfId="0" quotePrefix="1" applyNumberFormat="1" applyFont="1" applyBorder="1" applyAlignment="1">
      <alignment horizontal="center" vertical="center" wrapText="1"/>
    </xf>
    <xf numFmtId="1" fontId="5" fillId="0" borderId="9" xfId="0" quotePrefix="1" applyNumberFormat="1" applyFont="1" applyBorder="1" applyAlignment="1">
      <alignment horizontal="center" vertical="center" wrapText="1"/>
    </xf>
    <xf numFmtId="0" fontId="5" fillId="0" borderId="4" xfId="0" quotePrefix="1" applyFont="1" applyBorder="1" applyAlignment="1">
      <alignment wrapText="1"/>
    </xf>
    <xf numFmtId="1" fontId="5" fillId="0" borderId="4" xfId="0" applyNumberFormat="1" applyFont="1" applyBorder="1" applyAlignment="1">
      <alignment wrapText="1"/>
    </xf>
    <xf numFmtId="0" fontId="5" fillId="0" borderId="4" xfId="0" applyFont="1" applyBorder="1" applyProtection="1">
      <protection locked="0"/>
    </xf>
    <xf numFmtId="0" fontId="5" fillId="0" borderId="0" xfId="0" applyFont="1" applyProtection="1">
      <protection locked="0"/>
    </xf>
    <xf numFmtId="0" fontId="5" fillId="0" borderId="0" xfId="0" applyFont="1"/>
    <xf numFmtId="10" fontId="16" fillId="0" borderId="4" xfId="0" applyNumberFormat="1" applyFont="1" applyBorder="1" applyAlignment="1">
      <alignment vertical="center" wrapText="1"/>
    </xf>
    <xf numFmtId="0" fontId="12" fillId="0" borderId="4" xfId="0" applyFont="1" applyBorder="1" applyAlignment="1">
      <alignment vertical="center"/>
    </xf>
    <xf numFmtId="0" fontId="13" fillId="19" borderId="19" xfId="0" applyFont="1" applyFill="1" applyBorder="1" applyAlignment="1">
      <alignment horizontal="center" vertical="center" wrapText="1"/>
    </xf>
    <xf numFmtId="0" fontId="13" fillId="19" borderId="18" xfId="0" applyFont="1" applyFill="1" applyBorder="1" applyAlignment="1">
      <alignment horizontal="center" vertical="center" wrapText="1"/>
    </xf>
    <xf numFmtId="0" fontId="12" fillId="5" borderId="17" xfId="0" applyFont="1" applyFill="1" applyBorder="1" applyAlignment="1">
      <alignment horizontal="center" vertical="center" wrapText="1"/>
    </xf>
    <xf numFmtId="0" fontId="12" fillId="5" borderId="19" xfId="0" applyFont="1" applyFill="1" applyBorder="1" applyAlignment="1">
      <alignment horizontal="center" vertical="center" wrapText="1"/>
    </xf>
    <xf numFmtId="0" fontId="12" fillId="5" borderId="18" xfId="0" applyFont="1" applyFill="1" applyBorder="1" applyAlignment="1">
      <alignment horizontal="center" vertical="center" wrapText="1"/>
    </xf>
    <xf numFmtId="0" fontId="13" fillId="19" borderId="17" xfId="0" applyFont="1" applyFill="1" applyBorder="1" applyAlignment="1">
      <alignment horizontal="center" vertical="center" wrapText="1"/>
    </xf>
    <xf numFmtId="0" fontId="12" fillId="2" borderId="4" xfId="0" applyFont="1" applyFill="1" applyBorder="1" applyAlignment="1">
      <alignment wrapText="1"/>
    </xf>
    <xf numFmtId="10" fontId="5" fillId="0" borderId="8" xfId="1" applyNumberFormat="1" applyFont="1" applyBorder="1" applyAlignment="1">
      <alignment horizontal="center" vertical="center"/>
    </xf>
    <xf numFmtId="10" fontId="5" fillId="0" borderId="5" xfId="1" applyNumberFormat="1" applyFont="1" applyBorder="1" applyAlignment="1">
      <alignment horizontal="center" vertical="center"/>
    </xf>
    <xf numFmtId="10" fontId="5" fillId="0" borderId="0" xfId="0" applyNumberFormat="1" applyFont="1"/>
    <xf numFmtId="0" fontId="12" fillId="3" borderId="4" xfId="0" applyFont="1" applyFill="1" applyBorder="1" applyAlignment="1">
      <alignment wrapText="1"/>
    </xf>
    <xf numFmtId="0" fontId="12" fillId="4" borderId="4" xfId="0" applyFont="1" applyFill="1" applyBorder="1" applyAlignment="1">
      <alignment wrapText="1"/>
    </xf>
    <xf numFmtId="0" fontId="12" fillId="14" borderId="4" xfId="0" applyFont="1" applyFill="1" applyBorder="1" applyAlignment="1">
      <alignment wrapText="1"/>
    </xf>
    <xf numFmtId="10" fontId="5" fillId="0" borderId="4" xfId="1" applyNumberFormat="1" applyFont="1" applyBorder="1" applyAlignment="1">
      <alignment horizontal="center" vertical="center"/>
    </xf>
    <xf numFmtId="0" fontId="13" fillId="20" borderId="4" xfId="0" applyFont="1" applyFill="1" applyBorder="1" applyAlignment="1">
      <alignment wrapText="1"/>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12" borderId="5" xfId="0" applyFont="1" applyFill="1" applyBorder="1" applyAlignment="1">
      <alignment horizontal="center" vertical="center" wrapText="1"/>
    </xf>
    <xf numFmtId="0" fontId="12" fillId="13" borderId="5" xfId="0" applyFont="1" applyFill="1" applyBorder="1" applyAlignment="1">
      <alignment horizontal="center" vertical="center" wrapText="1"/>
    </xf>
    <xf numFmtId="0" fontId="12" fillId="13" borderId="12" xfId="0" applyFont="1" applyFill="1" applyBorder="1" applyAlignment="1">
      <alignment horizontal="center" vertical="center" wrapText="1"/>
    </xf>
    <xf numFmtId="0" fontId="12" fillId="14" borderId="12" xfId="0" applyFont="1" applyFill="1" applyBorder="1" applyAlignment="1">
      <alignment horizontal="center" vertical="center" wrapText="1"/>
    </xf>
    <xf numFmtId="0" fontId="5" fillId="17" borderId="4" xfId="0" applyFont="1" applyFill="1" applyBorder="1" applyAlignment="1">
      <alignment horizontal="center" vertical="center" wrapText="1"/>
    </xf>
    <xf numFmtId="0" fontId="12" fillId="0" borderId="4" xfId="0" applyFont="1" applyBorder="1" applyAlignment="1">
      <alignment horizontal="center" vertical="center" wrapText="1"/>
    </xf>
    <xf numFmtId="164" fontId="5" fillId="0" borderId="4" xfId="1" applyNumberFormat="1" applyFont="1" applyFill="1" applyBorder="1" applyAlignment="1">
      <alignment horizontal="center" vertical="center" wrapText="1"/>
    </xf>
    <xf numFmtId="0" fontId="5" fillId="15" borderId="4" xfId="0" applyFont="1" applyFill="1" applyBorder="1" applyAlignment="1">
      <alignment horizontal="center" vertical="center" wrapText="1"/>
    </xf>
    <xf numFmtId="0" fontId="12" fillId="0" borderId="0" xfId="0" applyFont="1" applyAlignment="1">
      <alignment horizontal="center"/>
    </xf>
    <xf numFmtId="3" fontId="12" fillId="0" borderId="4" xfId="0" applyNumberFormat="1" applyFont="1" applyBorder="1" applyAlignment="1">
      <alignment horizontal="right"/>
    </xf>
    <xf numFmtId="0" fontId="5" fillId="16" borderId="4" xfId="0" applyFont="1" applyFill="1" applyBorder="1" applyAlignment="1">
      <alignment horizontal="center" vertical="center" wrapText="1"/>
    </xf>
    <xf numFmtId="164" fontId="5" fillId="0" borderId="4" xfId="1" applyNumberFormat="1" applyFont="1" applyBorder="1" applyAlignment="1">
      <alignment horizontal="center" wrapText="1"/>
    </xf>
    <xf numFmtId="0" fontId="19" fillId="11" borderId="4" xfId="0" applyFont="1" applyFill="1" applyBorder="1" applyAlignment="1">
      <alignment horizontal="center" vertical="center"/>
    </xf>
    <xf numFmtId="10" fontId="5" fillId="0" borderId="0" xfId="0" applyNumberFormat="1" applyFont="1" applyAlignment="1">
      <alignment horizontal="right" vertical="center"/>
    </xf>
    <xf numFmtId="0" fontId="5" fillId="18" borderId="4" xfId="0" applyFont="1" applyFill="1" applyBorder="1" applyAlignment="1">
      <alignment horizontal="center" vertical="center" wrapText="1"/>
    </xf>
    <xf numFmtId="10" fontId="5" fillId="0" borderId="29" xfId="1" applyNumberFormat="1" applyFont="1" applyBorder="1" applyAlignment="1">
      <alignment horizontal="center"/>
    </xf>
    <xf numFmtId="10" fontId="5" fillId="0" borderId="12" xfId="1" applyNumberFormat="1" applyFont="1" applyBorder="1" applyAlignment="1">
      <alignment horizontal="center" vertical="center"/>
    </xf>
    <xf numFmtId="0" fontId="10" fillId="0" borderId="0" xfId="0" applyFont="1"/>
    <xf numFmtId="0" fontId="5" fillId="0" borderId="0" xfId="0" applyFont="1" applyAlignment="1">
      <alignment horizontal="center"/>
    </xf>
    <xf numFmtId="0" fontId="21" fillId="0" borderId="4" xfId="0" applyFont="1" applyBorder="1" applyAlignment="1">
      <alignment vertical="center"/>
    </xf>
    <xf numFmtId="0" fontId="22" fillId="0" borderId="4" xfId="0" applyFont="1" applyBorder="1" applyAlignment="1">
      <alignment vertical="center"/>
    </xf>
    <xf numFmtId="0" fontId="12" fillId="10" borderId="5" xfId="0" applyFont="1" applyFill="1" applyBorder="1" applyAlignment="1">
      <alignment horizontal="center"/>
    </xf>
    <xf numFmtId="0" fontId="23" fillId="10" borderId="5" xfId="0" applyFont="1" applyFill="1" applyBorder="1" applyAlignment="1">
      <alignment horizontal="center"/>
    </xf>
    <xf numFmtId="3" fontId="5" fillId="0" borderId="5" xfId="0" applyNumberFormat="1" applyFont="1" applyBorder="1" applyAlignment="1">
      <alignment horizontal="center"/>
    </xf>
    <xf numFmtId="164" fontId="5" fillId="0" borderId="5" xfId="1" applyNumberFormat="1" applyFont="1" applyBorder="1" applyAlignment="1">
      <alignment horizontal="center"/>
    </xf>
    <xf numFmtId="3" fontId="5" fillId="0" borderId="6" xfId="0" applyNumberFormat="1" applyFont="1" applyBorder="1" applyAlignment="1">
      <alignment horizontal="center"/>
    </xf>
    <xf numFmtId="3" fontId="5" fillId="0" borderId="4" xfId="0" applyNumberFormat="1" applyFont="1" applyBorder="1" applyAlignment="1">
      <alignment horizontal="center"/>
    </xf>
    <xf numFmtId="164" fontId="5" fillId="0" borderId="4" xfId="1" applyNumberFormat="1" applyFont="1" applyBorder="1" applyAlignment="1">
      <alignment horizontal="center"/>
    </xf>
    <xf numFmtId="0" fontId="5" fillId="0" borderId="4" xfId="0" applyFont="1" applyBorder="1" applyAlignment="1">
      <alignment horizontal="center"/>
    </xf>
    <xf numFmtId="0" fontId="19" fillId="11" borderId="4" xfId="0" applyFont="1" applyFill="1" applyBorder="1" applyAlignment="1">
      <alignment horizontal="left" vertical="center"/>
    </xf>
    <xf numFmtId="0" fontId="12" fillId="11" borderId="4" xfId="0" applyFont="1" applyFill="1" applyBorder="1" applyAlignment="1">
      <alignment horizontal="center"/>
    </xf>
    <xf numFmtId="0" fontId="25" fillId="0" borderId="4" xfId="0" applyFont="1" applyBorder="1" applyAlignment="1">
      <alignment vertical="center"/>
    </xf>
    <xf numFmtId="0" fontId="25" fillId="0" borderId="4" xfId="0" applyFont="1" applyBorder="1" applyAlignment="1">
      <alignment horizontal="center" vertical="center"/>
    </xf>
    <xf numFmtId="0" fontId="27" fillId="0" borderId="4" xfId="0" applyFont="1" applyBorder="1" applyAlignment="1">
      <alignment horizontal="center" vertical="center" wrapText="1"/>
    </xf>
    <xf numFmtId="0" fontId="20" fillId="0" borderId="5" xfId="0" applyFont="1" applyBorder="1" applyAlignment="1">
      <alignment wrapText="1"/>
    </xf>
    <xf numFmtId="0" fontId="25" fillId="0" borderId="4" xfId="0" applyFont="1" applyBorder="1" applyAlignment="1">
      <alignment horizontal="center" vertical="center" wrapText="1"/>
    </xf>
    <xf numFmtId="10" fontId="25" fillId="0" borderId="11" xfId="0" applyNumberFormat="1" applyFont="1" applyBorder="1" applyAlignment="1">
      <alignment horizontal="center" vertical="center" wrapText="1"/>
    </xf>
    <xf numFmtId="10" fontId="25" fillId="0" borderId="4" xfId="0" applyNumberFormat="1" applyFont="1" applyBorder="1" applyAlignment="1">
      <alignment horizontal="center" vertical="center" wrapText="1"/>
    </xf>
    <xf numFmtId="3" fontId="5" fillId="6" borderId="20" xfId="0" applyNumberFormat="1" applyFont="1" applyFill="1" applyBorder="1" applyAlignment="1" applyProtection="1">
      <alignment horizontal="center" vertical="center" wrapText="1"/>
      <protection locked="0"/>
    </xf>
    <xf numFmtId="0" fontId="10" fillId="6" borderId="20" xfId="0" applyFont="1" applyFill="1" applyBorder="1" applyAlignment="1">
      <alignment horizontal="center" vertical="center" wrapText="1"/>
    </xf>
    <xf numFmtId="0" fontId="10" fillId="6" borderId="20" xfId="0" applyFont="1" applyFill="1" applyBorder="1" applyAlignment="1" applyProtection="1">
      <alignment horizontal="center" vertical="center" wrapText="1"/>
      <protection locked="0"/>
    </xf>
    <xf numFmtId="3" fontId="10" fillId="6" borderId="20" xfId="0" applyNumberFormat="1" applyFont="1" applyFill="1" applyBorder="1" applyAlignment="1">
      <alignment horizontal="center" vertical="center" wrapText="1"/>
    </xf>
    <xf numFmtId="3" fontId="10" fillId="6" borderId="20" xfId="0" applyNumberFormat="1" applyFont="1" applyFill="1" applyBorder="1" applyAlignment="1" applyProtection="1">
      <alignment horizontal="center" vertical="center" wrapText="1"/>
      <protection locked="0"/>
    </xf>
    <xf numFmtId="1" fontId="10" fillId="6" borderId="20" xfId="0" applyNumberFormat="1" applyFont="1" applyFill="1" applyBorder="1" applyAlignment="1">
      <alignment horizontal="center" vertical="center" wrapText="1"/>
    </xf>
    <xf numFmtId="1" fontId="10" fillId="6" borderId="20" xfId="0" applyNumberFormat="1" applyFont="1" applyFill="1" applyBorder="1" applyAlignment="1" applyProtection="1">
      <alignment horizontal="center" vertical="center" wrapText="1"/>
      <protection locked="0"/>
    </xf>
    <xf numFmtId="1" fontId="5" fillId="6" borderId="24" xfId="0" applyNumberFormat="1" applyFont="1" applyFill="1" applyBorder="1" applyAlignment="1">
      <alignment horizontal="center" vertical="center" wrapText="1"/>
    </xf>
    <xf numFmtId="1" fontId="5" fillId="6" borderId="12" xfId="0" applyNumberFormat="1" applyFont="1" applyFill="1" applyBorder="1" applyAlignment="1" applyProtection="1">
      <alignment horizontal="center" vertical="center" wrapText="1"/>
      <protection locked="0"/>
    </xf>
    <xf numFmtId="1" fontId="5" fillId="6" borderId="14" xfId="0" applyNumberFormat="1" applyFont="1" applyFill="1" applyBorder="1" applyAlignment="1" applyProtection="1">
      <alignment horizontal="center" vertical="center" wrapText="1"/>
      <protection locked="0"/>
    </xf>
    <xf numFmtId="3" fontId="5" fillId="0" borderId="1" xfId="0" quotePrefix="1" applyNumberFormat="1" applyFont="1" applyBorder="1" applyAlignment="1">
      <alignment horizontal="center" vertical="center" wrapText="1"/>
    </xf>
    <xf numFmtId="3" fontId="5" fillId="0" borderId="4" xfId="0" quotePrefix="1" applyNumberFormat="1" applyFont="1" applyBorder="1" applyAlignment="1">
      <alignment wrapText="1"/>
    </xf>
    <xf numFmtId="3" fontId="5" fillId="7" borderId="4" xfId="0" applyNumberFormat="1" applyFont="1" applyFill="1" applyBorder="1" applyAlignment="1">
      <alignment horizontal="right" wrapText="1"/>
    </xf>
    <xf numFmtId="0" fontId="14" fillId="0" borderId="4" xfId="0" applyFont="1" applyBorder="1" applyAlignment="1">
      <alignment wrapText="1"/>
    </xf>
    <xf numFmtId="0" fontId="30" fillId="0" borderId="4" xfId="0" applyFont="1" applyBorder="1" applyAlignment="1">
      <alignment vertical="center"/>
    </xf>
    <xf numFmtId="0" fontId="5" fillId="0" borderId="4" xfId="4" applyFont="1" applyAlignment="1">
      <alignment vertical="top" wrapText="1"/>
    </xf>
    <xf numFmtId="0" fontId="5" fillId="0" borderId="4" xfId="4" applyFont="1"/>
    <xf numFmtId="0" fontId="5" fillId="0" borderId="4" xfId="4" applyFont="1" applyAlignment="1">
      <alignment wrapText="1"/>
    </xf>
    <xf numFmtId="0" fontId="33" fillId="0" borderId="4" xfId="4" applyFont="1" applyAlignment="1">
      <alignment horizontal="left" vertical="center" wrapText="1"/>
    </xf>
    <xf numFmtId="0" fontId="25" fillId="0" borderId="4" xfId="4" applyFont="1" applyAlignment="1">
      <alignment vertical="top" wrapText="1"/>
    </xf>
    <xf numFmtId="0" fontId="34" fillId="25" borderId="5" xfId="4" applyFont="1" applyFill="1" applyBorder="1" applyAlignment="1">
      <alignment vertical="center" wrapText="1"/>
    </xf>
    <xf numFmtId="0" fontId="35" fillId="25" borderId="5" xfId="4" applyFont="1" applyFill="1" applyBorder="1" applyAlignment="1">
      <alignment vertical="center" wrapText="1"/>
    </xf>
    <xf numFmtId="0" fontId="36" fillId="25" borderId="5" xfId="4" applyFont="1" applyFill="1" applyBorder="1" applyAlignment="1">
      <alignment horizontal="left" vertical="center" wrapText="1"/>
    </xf>
    <xf numFmtId="0" fontId="10" fillId="0" borderId="5" xfId="4" applyFont="1" applyBorder="1" applyAlignment="1">
      <alignment vertical="center" wrapText="1"/>
    </xf>
    <xf numFmtId="0" fontId="37" fillId="0" borderId="5" xfId="4" applyFont="1" applyBorder="1" applyAlignment="1">
      <alignment horizontal="left" vertical="center" wrapText="1"/>
    </xf>
    <xf numFmtId="0" fontId="40" fillId="0" borderId="4" xfId="3" applyFont="1" applyBorder="1" applyAlignment="1">
      <alignment vertical="top" wrapText="1"/>
    </xf>
    <xf numFmtId="0" fontId="42" fillId="25" borderId="5" xfId="4" applyFont="1" applyFill="1" applyBorder="1" applyAlignment="1">
      <alignment vertical="center" wrapText="1"/>
    </xf>
    <xf numFmtId="0" fontId="42" fillId="25" borderId="5" xfId="4" applyFont="1" applyFill="1" applyBorder="1" applyAlignment="1">
      <alignment horizontal="left" vertical="center" wrapText="1"/>
    </xf>
    <xf numFmtId="0" fontId="28" fillId="0" borderId="0" xfId="0" applyFont="1"/>
    <xf numFmtId="0" fontId="51" fillId="0" borderId="0" xfId="0" applyFont="1" applyAlignment="1">
      <alignment vertical="center"/>
    </xf>
    <xf numFmtId="0" fontId="13" fillId="19" borderId="35" xfId="0" applyFont="1" applyFill="1" applyBorder="1" applyAlignment="1">
      <alignment horizontal="center" vertical="center" wrapText="1"/>
    </xf>
    <xf numFmtId="3" fontId="5" fillId="0" borderId="36" xfId="0" applyNumberFormat="1" applyFont="1" applyBorder="1" applyAlignment="1">
      <alignment horizontal="center"/>
    </xf>
    <xf numFmtId="3" fontId="5" fillId="0" borderId="37" xfId="0" applyNumberFormat="1" applyFont="1" applyBorder="1" applyAlignment="1">
      <alignment horizontal="center"/>
    </xf>
    <xf numFmtId="0" fontId="12" fillId="5" borderId="35" xfId="0" applyFont="1" applyFill="1" applyBorder="1" applyAlignment="1">
      <alignment horizontal="center" vertical="center" wrapText="1"/>
    </xf>
    <xf numFmtId="0" fontId="12" fillId="0" borderId="35" xfId="0" applyFont="1" applyBorder="1" applyAlignment="1">
      <alignment horizontal="right"/>
    </xf>
    <xf numFmtId="0" fontId="12" fillId="0" borderId="37" xfId="0" applyFont="1" applyBorder="1" applyAlignment="1">
      <alignment horizontal="right"/>
    </xf>
    <xf numFmtId="0" fontId="12" fillId="0" borderId="38" xfId="0" applyFont="1" applyBorder="1" applyAlignment="1">
      <alignment horizontal="right"/>
    </xf>
    <xf numFmtId="0" fontId="12" fillId="0" borderId="39" xfId="0" applyFont="1" applyBorder="1" applyAlignment="1">
      <alignment horizontal="right"/>
    </xf>
    <xf numFmtId="10" fontId="5" fillId="10" borderId="5" xfId="0" applyNumberFormat="1" applyFont="1" applyFill="1" applyBorder="1" applyAlignment="1">
      <alignment horizontal="center" vertical="center" wrapText="1"/>
    </xf>
    <xf numFmtId="3" fontId="5" fillId="27" borderId="23" xfId="0" applyNumberFormat="1" applyFont="1" applyFill="1" applyBorder="1" applyAlignment="1">
      <alignment horizontal="center" vertical="center" wrapText="1"/>
    </xf>
    <xf numFmtId="3" fontId="5" fillId="27" borderId="2" xfId="0" applyNumberFormat="1" applyFont="1" applyFill="1" applyBorder="1" applyAlignment="1">
      <alignment horizontal="center" vertical="center" wrapText="1"/>
    </xf>
    <xf numFmtId="10" fontId="5" fillId="27" borderId="5" xfId="0" applyNumberFormat="1" applyFont="1" applyFill="1" applyBorder="1" applyAlignment="1">
      <alignment horizontal="center" vertical="center" wrapText="1"/>
    </xf>
    <xf numFmtId="10" fontId="5" fillId="27" borderId="2" xfId="0" applyNumberFormat="1" applyFont="1" applyFill="1" applyBorder="1" applyAlignment="1" applyProtection="1">
      <alignment horizontal="center" vertical="center" wrapText="1"/>
      <protection locked="0"/>
    </xf>
    <xf numFmtId="10" fontId="5" fillId="10" borderId="1" xfId="0" applyNumberFormat="1" applyFont="1" applyFill="1" applyBorder="1" applyAlignment="1" applyProtection="1">
      <alignment horizontal="center" vertical="center" wrapText="1"/>
      <protection locked="0"/>
    </xf>
    <xf numFmtId="3" fontId="5" fillId="10" borderId="2" xfId="0" applyNumberFormat="1" applyFont="1" applyFill="1" applyBorder="1" applyAlignment="1">
      <alignment horizontal="center" vertical="center" wrapText="1"/>
    </xf>
    <xf numFmtId="3" fontId="5" fillId="10" borderId="1" xfId="0" quotePrefix="1" applyNumberFormat="1" applyFont="1" applyFill="1" applyBorder="1" applyAlignment="1">
      <alignment horizontal="center" vertical="center" wrapText="1"/>
    </xf>
    <xf numFmtId="0" fontId="27" fillId="0" borderId="0" xfId="0" applyFont="1" applyAlignment="1">
      <alignment horizontal="center" vertical="top" wrapText="1"/>
    </xf>
    <xf numFmtId="0" fontId="53" fillId="0" borderId="4" xfId="0" applyFont="1" applyBorder="1" applyAlignment="1">
      <alignment horizontal="center" vertical="center" wrapText="1"/>
    </xf>
    <xf numFmtId="0" fontId="53" fillId="0" borderId="28" xfId="0" applyFont="1" applyBorder="1" applyAlignment="1">
      <alignment horizontal="center" vertical="center" wrapText="1"/>
    </xf>
    <xf numFmtId="0" fontId="53" fillId="0" borderId="4" xfId="0" applyFont="1" applyBorder="1" applyAlignment="1">
      <alignment horizontal="center" vertical="top" wrapText="1"/>
    </xf>
    <xf numFmtId="0" fontId="8" fillId="0" borderId="4" xfId="0" applyFont="1" applyBorder="1" applyAlignment="1">
      <alignment horizontal="center" vertical="center"/>
    </xf>
    <xf numFmtId="3" fontId="26" fillId="0" borderId="5" xfId="0" applyNumberFormat="1" applyFont="1" applyBorder="1" applyAlignment="1">
      <alignment horizontal="center" wrapText="1"/>
    </xf>
    <xf numFmtId="9" fontId="20" fillId="22" borderId="5" xfId="0" applyNumberFormat="1" applyFont="1" applyFill="1" applyBorder="1" applyAlignment="1">
      <alignment horizontal="center" vertical="center" wrapText="1"/>
    </xf>
    <xf numFmtId="9" fontId="20" fillId="21" borderId="5" xfId="0" applyNumberFormat="1" applyFont="1" applyFill="1" applyBorder="1" applyAlignment="1">
      <alignment horizontal="center" vertical="center" wrapText="1"/>
    </xf>
    <xf numFmtId="9" fontId="20" fillId="8" borderId="5" xfId="0" applyNumberFormat="1" applyFont="1" applyFill="1" applyBorder="1" applyAlignment="1">
      <alignment horizontal="center" vertical="center" wrapText="1"/>
    </xf>
    <xf numFmtId="9" fontId="20" fillId="23" borderId="5" xfId="0" applyNumberFormat="1" applyFont="1" applyFill="1" applyBorder="1" applyAlignment="1">
      <alignment horizontal="center" vertical="center" wrapText="1"/>
    </xf>
    <xf numFmtId="9" fontId="20" fillId="9" borderId="5" xfId="0" applyNumberFormat="1" applyFont="1" applyFill="1" applyBorder="1" applyAlignment="1">
      <alignment horizontal="center" vertical="center" wrapText="1"/>
    </xf>
    <xf numFmtId="0" fontId="5" fillId="0" borderId="4" xfId="0" applyFont="1" applyBorder="1" applyAlignment="1">
      <alignment vertical="center" wrapText="1"/>
    </xf>
    <xf numFmtId="0" fontId="9" fillId="28" borderId="5" xfId="0" applyFont="1" applyFill="1" applyBorder="1" applyAlignment="1">
      <alignment horizontal="center" vertical="center" wrapText="1"/>
    </xf>
    <xf numFmtId="0" fontId="9" fillId="29" borderId="5" xfId="0" applyFont="1" applyFill="1" applyBorder="1" applyAlignment="1">
      <alignment horizontal="center" vertical="center"/>
    </xf>
    <xf numFmtId="0" fontId="9" fillId="22" borderId="5" xfId="0" applyFont="1" applyFill="1" applyBorder="1" applyAlignment="1">
      <alignment horizontal="center" vertical="center" wrapText="1"/>
    </xf>
    <xf numFmtId="0" fontId="54" fillId="0" borderId="4" xfId="0" applyFont="1" applyBorder="1" applyAlignment="1">
      <alignment horizontal="center" vertical="center" wrapText="1"/>
    </xf>
    <xf numFmtId="3" fontId="62" fillId="0" borderId="5"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16" fillId="0" borderId="4" xfId="0" applyFont="1" applyBorder="1" applyAlignment="1" applyProtection="1">
      <alignment horizontal="center" vertical="center" wrapText="1"/>
      <protection locked="0"/>
    </xf>
    <xf numFmtId="0" fontId="16" fillId="0" borderId="4" xfId="0" applyFont="1" applyBorder="1" applyAlignment="1">
      <alignment horizontal="center" vertical="center" wrapText="1"/>
    </xf>
    <xf numFmtId="0" fontId="14" fillId="0" borderId="4" xfId="0" applyFont="1" applyBorder="1" applyAlignment="1">
      <alignment horizontal="center" vertical="center" wrapText="1"/>
    </xf>
    <xf numFmtId="9" fontId="24" fillId="23" borderId="32" xfId="0" applyNumberFormat="1" applyFont="1" applyFill="1" applyBorder="1" applyAlignment="1">
      <alignment horizontal="center" vertical="center" wrapText="1"/>
    </xf>
    <xf numFmtId="9" fontId="24" fillId="23" borderId="16" xfId="0" applyNumberFormat="1" applyFont="1" applyFill="1" applyBorder="1" applyAlignment="1">
      <alignment horizontal="center" vertical="center" wrapText="1"/>
    </xf>
    <xf numFmtId="9" fontId="24" fillId="9" borderId="33" xfId="0" applyNumberFormat="1" applyFont="1" applyFill="1" applyBorder="1" applyAlignment="1">
      <alignment horizontal="center" vertical="center" wrapText="1"/>
    </xf>
    <xf numFmtId="9" fontId="24" fillId="9" borderId="34" xfId="0" applyNumberFormat="1" applyFont="1" applyFill="1" applyBorder="1" applyAlignment="1">
      <alignment horizontal="center" vertical="center" wrapText="1"/>
    </xf>
    <xf numFmtId="0" fontId="26" fillId="0" borderId="4" xfId="0" applyFont="1" applyBorder="1" applyAlignment="1">
      <alignment horizontal="right" vertical="center"/>
    </xf>
    <xf numFmtId="0" fontId="29" fillId="0" borderId="4" xfId="0" applyFont="1" applyBorder="1" applyAlignment="1">
      <alignment horizontal="center" vertical="center"/>
    </xf>
    <xf numFmtId="9" fontId="24" fillId="22" borderId="31" xfId="0" applyNumberFormat="1" applyFont="1" applyFill="1" applyBorder="1" applyAlignment="1">
      <alignment horizontal="center" vertical="center" wrapText="1"/>
    </xf>
    <xf numFmtId="9" fontId="24" fillId="22" borderId="15" xfId="0" applyNumberFormat="1" applyFont="1" applyFill="1" applyBorder="1" applyAlignment="1">
      <alignment horizontal="center" vertical="center" wrapText="1"/>
    </xf>
    <xf numFmtId="9" fontId="24" fillId="21" borderId="32" xfId="0" applyNumberFormat="1" applyFont="1" applyFill="1" applyBorder="1" applyAlignment="1">
      <alignment horizontal="center" vertical="center" wrapText="1"/>
    </xf>
    <xf numFmtId="9" fontId="24" fillId="21" borderId="16" xfId="0" applyNumberFormat="1" applyFont="1" applyFill="1" applyBorder="1" applyAlignment="1">
      <alignment horizontal="center" vertical="center" wrapText="1"/>
    </xf>
    <xf numFmtId="9" fontId="24" fillId="8" borderId="32" xfId="0" applyNumberFormat="1" applyFont="1" applyFill="1" applyBorder="1" applyAlignment="1">
      <alignment horizontal="center" vertical="center" wrapText="1"/>
    </xf>
    <xf numFmtId="9" fontId="24" fillId="8" borderId="16" xfId="0" applyNumberFormat="1" applyFont="1" applyFill="1" applyBorder="1" applyAlignment="1">
      <alignment horizontal="center" vertical="center" wrapText="1"/>
    </xf>
    <xf numFmtId="0" fontId="13" fillId="25" borderId="6" xfId="0" applyFont="1" applyFill="1" applyBorder="1" applyAlignment="1">
      <alignment horizontal="center"/>
    </xf>
    <xf numFmtId="0" fontId="13" fillId="25" borderId="13" xfId="0" applyFont="1" applyFill="1" applyBorder="1" applyAlignment="1">
      <alignment horizontal="center"/>
    </xf>
    <xf numFmtId="0" fontId="5" fillId="0" borderId="6" xfId="0" applyFont="1" applyBorder="1" applyAlignment="1">
      <alignment horizontal="center"/>
    </xf>
    <xf numFmtId="0" fontId="5" fillId="0" borderId="13" xfId="0" applyFont="1" applyBorder="1" applyAlignment="1">
      <alignment horizontal="center"/>
    </xf>
    <xf numFmtId="0" fontId="5" fillId="0" borderId="8" xfId="0" applyFont="1" applyBorder="1" applyAlignment="1">
      <alignment horizontal="center"/>
    </xf>
    <xf numFmtId="0" fontId="13" fillId="25" borderId="8" xfId="0" applyFont="1" applyFill="1" applyBorder="1" applyAlignment="1">
      <alignment horizontal="center"/>
    </xf>
    <xf numFmtId="0" fontId="12" fillId="10" borderId="6" xfId="0" applyFont="1" applyFill="1" applyBorder="1" applyAlignment="1">
      <alignment horizontal="center"/>
    </xf>
    <xf numFmtId="0" fontId="12" fillId="10" borderId="13" xfId="0" applyFont="1" applyFill="1" applyBorder="1" applyAlignment="1">
      <alignment horizontal="center"/>
    </xf>
    <xf numFmtId="0" fontId="12" fillId="10" borderId="8" xfId="0" applyFont="1" applyFill="1" applyBorder="1" applyAlignment="1">
      <alignment horizontal="center"/>
    </xf>
    <xf numFmtId="0" fontId="26" fillId="0" borderId="4" xfId="0" applyFont="1" applyBorder="1" applyAlignment="1">
      <alignment horizontal="right" vertical="center" wrapText="1"/>
    </xf>
    <xf numFmtId="0" fontId="29" fillId="0" borderId="4" xfId="0" applyFont="1" applyBorder="1" applyAlignment="1">
      <alignment horizontal="center" vertical="center" wrapText="1"/>
    </xf>
    <xf numFmtId="0" fontId="25" fillId="0" borderId="4" xfId="0" applyFont="1" applyBorder="1" applyAlignment="1">
      <alignment horizontal="left" vertical="center"/>
    </xf>
    <xf numFmtId="0" fontId="51" fillId="0" borderId="0" xfId="0" applyFont="1" applyAlignment="1">
      <alignment horizontal="center" vertical="center" wrapText="1"/>
    </xf>
    <xf numFmtId="0" fontId="30" fillId="0" borderId="4" xfId="0" applyFont="1" applyBorder="1" applyAlignment="1">
      <alignment horizontal="center" vertical="center"/>
    </xf>
    <xf numFmtId="0" fontId="31" fillId="0" borderId="4" xfId="0" applyFont="1" applyBorder="1" applyAlignment="1">
      <alignment horizontal="center" vertical="center"/>
    </xf>
    <xf numFmtId="0" fontId="8" fillId="26" borderId="0" xfId="0" applyFont="1" applyFill="1" applyAlignment="1" applyProtection="1">
      <alignment horizontal="left" vertical="center"/>
      <protection locked="0"/>
    </xf>
    <xf numFmtId="0" fontId="26" fillId="0" borderId="4" xfId="0" applyFont="1" applyBorder="1" applyAlignment="1">
      <alignment horizontal="left" vertical="center" wrapText="1"/>
    </xf>
  </cellXfs>
  <cellStyles count="6">
    <cellStyle name="Comma" xfId="2" builtinId="3"/>
    <cellStyle name="Hyperlink" xfId="3" builtinId="8"/>
    <cellStyle name="Hyperlink 2" xfId="5" xr:uid="{7A27935A-2310-E544-9EBF-5E23ABD220B9}"/>
    <cellStyle name="Normal" xfId="0" builtinId="0"/>
    <cellStyle name="Normal 2" xfId="4" xr:uid="{B2853C5D-6E90-794C-9558-692AF1D001B8}"/>
    <cellStyle name="Percent" xfId="1" builtinId="5"/>
  </cellStyles>
  <dxfs count="309">
    <dxf>
      <fill>
        <patternFill>
          <bgColor rgb="FFFF0000"/>
        </patternFill>
      </fill>
    </dxf>
    <dxf>
      <fill>
        <patternFill>
          <bgColor rgb="FFFF9B9B"/>
        </patternFill>
      </fill>
    </dxf>
    <dxf>
      <fill>
        <patternFill>
          <bgColor theme="7" tint="0.59996337778862885"/>
        </patternFill>
      </fill>
    </dxf>
    <dxf>
      <fill>
        <patternFill>
          <bgColor rgb="FF92D050"/>
        </patternFill>
      </fill>
    </dxf>
    <dxf>
      <fill>
        <patternFill>
          <bgColor rgb="FF00B050"/>
        </patternFill>
      </fill>
    </dxf>
    <dxf>
      <fill>
        <patternFill patternType="none">
          <bgColor auto="1"/>
        </patternFill>
      </fill>
    </dxf>
    <dxf>
      <fill>
        <patternFill>
          <bgColor rgb="FFFF0000"/>
        </patternFill>
      </fill>
    </dxf>
    <dxf>
      <fill>
        <patternFill>
          <bgColor rgb="FFFF9B9B"/>
        </patternFill>
      </fill>
    </dxf>
    <dxf>
      <fill>
        <patternFill>
          <bgColor theme="7" tint="0.59996337778862885"/>
        </patternFill>
      </fill>
    </dxf>
    <dxf>
      <fill>
        <patternFill>
          <bgColor rgb="FF92D050"/>
        </patternFill>
      </fill>
    </dxf>
    <dxf>
      <fill>
        <patternFill>
          <bgColor rgb="FF00B050"/>
        </patternFill>
      </fill>
    </dxf>
    <dxf>
      <fill>
        <patternFill patternType="none">
          <bgColor auto="1"/>
        </patternFill>
      </fill>
    </dxf>
    <dxf>
      <fill>
        <patternFill>
          <bgColor rgb="FFFF0000"/>
        </patternFill>
      </fill>
    </dxf>
    <dxf>
      <fill>
        <patternFill>
          <bgColor rgb="FFFF9B9B"/>
        </patternFill>
      </fill>
    </dxf>
    <dxf>
      <fill>
        <patternFill>
          <bgColor theme="7" tint="0.59996337778862885"/>
        </patternFill>
      </fill>
    </dxf>
    <dxf>
      <fill>
        <patternFill>
          <bgColor rgb="FF92D050"/>
        </patternFill>
      </fill>
    </dxf>
    <dxf>
      <fill>
        <patternFill>
          <bgColor rgb="FF00B050"/>
        </patternFill>
      </fill>
    </dxf>
    <dxf>
      <fill>
        <patternFill patternType="none">
          <bgColor auto="1"/>
        </patternFill>
      </fill>
    </dxf>
    <dxf>
      <font>
        <color theme="0"/>
      </font>
    </dxf>
    <dxf>
      <font>
        <color theme="0"/>
      </font>
    </dxf>
    <dxf>
      <font>
        <color theme="0"/>
      </font>
    </dxf>
    <dxf>
      <font>
        <strike val="0"/>
        <outline val="0"/>
        <shadow val="0"/>
        <u val="none"/>
        <vertAlign val="baseline"/>
        <name val="Arial"/>
        <family val="2"/>
        <scheme val="major"/>
      </font>
      <numFmt numFmtId="14" formatCode="0.00%"/>
    </dxf>
    <dxf>
      <font>
        <strike val="0"/>
        <outline val="0"/>
        <shadow val="0"/>
        <u val="none"/>
        <vertAlign val="baseline"/>
        <name val="Arial"/>
        <family val="2"/>
        <scheme val="major"/>
      </font>
      <numFmt numFmtId="14" formatCode="0.00%"/>
    </dxf>
    <dxf>
      <font>
        <strike val="0"/>
        <outline val="0"/>
        <shadow val="0"/>
        <u val="none"/>
        <vertAlign val="baseline"/>
        <name val="Arial"/>
        <family val="2"/>
        <scheme val="major"/>
      </font>
      <numFmt numFmtId="14" formatCode="0.00%"/>
    </dxf>
    <dxf>
      <font>
        <strike val="0"/>
        <outline val="0"/>
        <shadow val="0"/>
        <u val="none"/>
        <vertAlign val="baseline"/>
        <name val="Arial"/>
        <family val="2"/>
        <scheme val="major"/>
      </font>
      <numFmt numFmtId="14" formatCode="0.00%"/>
    </dxf>
    <dxf>
      <font>
        <strike val="0"/>
        <outline val="0"/>
        <shadow val="0"/>
        <u val="none"/>
        <vertAlign val="baseline"/>
        <name val="Arial"/>
        <family val="2"/>
        <scheme val="major"/>
      </font>
      <numFmt numFmtId="14" formatCode="0.00%"/>
    </dxf>
    <dxf>
      <font>
        <strike val="0"/>
        <outline val="0"/>
        <shadow val="0"/>
        <u val="none"/>
        <vertAlign val="baseline"/>
        <name val="Arial"/>
        <family val="2"/>
        <scheme val="major"/>
      </font>
      <numFmt numFmtId="14" formatCode="0.00%"/>
    </dxf>
    <dxf>
      <font>
        <strike val="0"/>
        <outline val="0"/>
        <shadow val="0"/>
        <u val="none"/>
        <vertAlign val="baseline"/>
        <name val="Arial"/>
        <family val="2"/>
        <scheme val="major"/>
      </font>
      <numFmt numFmtId="14" formatCode="0.00%"/>
    </dxf>
    <dxf>
      <font>
        <strike val="0"/>
        <outline val="0"/>
        <shadow val="0"/>
        <u val="none"/>
        <vertAlign val="baseline"/>
        <name val="Arial"/>
        <family val="2"/>
        <scheme val="major"/>
      </font>
      <numFmt numFmtId="14" formatCode="0.00%"/>
    </dxf>
    <dxf>
      <font>
        <strike val="0"/>
        <outline val="0"/>
        <shadow val="0"/>
        <u val="none"/>
        <vertAlign val="baseline"/>
        <name val="Arial"/>
        <family val="2"/>
        <scheme val="major"/>
      </font>
      <numFmt numFmtId="14" formatCode="0.00%"/>
    </dxf>
    <dxf>
      <font>
        <strike val="0"/>
        <outline val="0"/>
        <shadow val="0"/>
        <u val="none"/>
        <vertAlign val="baseline"/>
        <name val="Arial"/>
        <family val="2"/>
        <scheme val="major"/>
      </font>
      <numFmt numFmtId="14" formatCode="0.00%"/>
    </dxf>
    <dxf>
      <font>
        <strike val="0"/>
        <outline val="0"/>
        <shadow val="0"/>
        <u val="none"/>
        <vertAlign val="baseline"/>
        <name val="Arial"/>
        <family val="2"/>
        <scheme val="major"/>
      </font>
      <numFmt numFmtId="14" formatCode="0.00%"/>
    </dxf>
    <dxf>
      <font>
        <b val="0"/>
        <i val="0"/>
        <strike val="0"/>
        <condense val="0"/>
        <extend val="0"/>
        <outline val="0"/>
        <shadow val="0"/>
        <u val="none"/>
        <vertAlign val="baseline"/>
        <sz val="11"/>
        <color theme="1"/>
        <name val="Arial"/>
        <family val="2"/>
        <scheme val="major"/>
      </font>
      <numFmt numFmtId="164" formatCode="0.0%"/>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Arial"/>
        <family val="2"/>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major"/>
      </font>
      <fill>
        <patternFill patternType="solid">
          <fgColor rgb="FFBDD6EE"/>
          <bgColor theme="0"/>
        </patternFill>
      </fill>
      <alignment horizontal="center" vertical="center" textRotation="0" wrapText="1" indent="0" justifyLastLine="0" shrinkToFit="0" readingOrder="0"/>
    </dxf>
    <dxf>
      <font>
        <strike val="0"/>
        <outline val="0"/>
        <shadow val="0"/>
        <u val="none"/>
        <vertAlign val="baseline"/>
        <name val="Arial"/>
        <family val="2"/>
        <scheme val="major"/>
      </font>
    </dxf>
    <dxf>
      <border>
        <bottom style="thin">
          <color indexed="64"/>
        </bottom>
      </border>
    </dxf>
    <dxf>
      <font>
        <strike val="0"/>
        <outline val="0"/>
        <shadow val="0"/>
        <u val="none"/>
        <vertAlign val="baseline"/>
        <name val="Arial"/>
        <family val="2"/>
        <scheme val="major"/>
      </font>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major"/>
      </font>
      <fill>
        <patternFill patternType="solid">
          <fgColor rgb="FFFEF2CB"/>
          <bgColor rgb="FFFEF2CB"/>
        </patternFill>
      </fill>
      <alignment horizontal="general" vertical="bottom"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1"/>
        <name val="Arial"/>
        <family val="2"/>
        <scheme val="major"/>
      </font>
      <alignment horizontal="center" vertical="center" textRotation="0" wrapText="0" indent="0" justifyLastLine="0" shrinkToFit="0" readingOrder="0"/>
    </dxf>
    <dxf>
      <font>
        <b/>
        <i val="0"/>
        <strike val="0"/>
        <condense val="0"/>
        <extend val="0"/>
        <outline val="0"/>
        <shadow val="0"/>
        <u val="none"/>
        <vertAlign val="baseline"/>
        <sz val="11"/>
        <color theme="1"/>
        <name val="Arial"/>
        <family val="2"/>
        <scheme val="major"/>
      </font>
      <fill>
        <patternFill patternType="solid">
          <fgColor rgb="FFBDD6EE"/>
          <bgColor rgb="FFFFFF0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9B9B"/>
        </patternFill>
      </fill>
    </dxf>
    <dxf>
      <fill>
        <patternFill>
          <bgColor theme="7" tint="0.59996337778862885"/>
        </patternFill>
      </fill>
    </dxf>
    <dxf>
      <fill>
        <patternFill>
          <bgColor rgb="FF92D050"/>
        </patternFill>
      </fill>
    </dxf>
    <dxf>
      <fill>
        <patternFill>
          <bgColor rgb="FF00B050"/>
        </patternFill>
      </fill>
    </dxf>
    <dxf>
      <fill>
        <patternFill patternType="none">
          <bgColor auto="1"/>
        </patternFill>
      </fill>
    </dxf>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major"/>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dxf>
    <dxf>
      <font>
        <strike val="0"/>
        <outline val="0"/>
        <shadow val="0"/>
        <u val="none"/>
        <vertAlign val="baseline"/>
        <name val="Arial"/>
        <family val="2"/>
        <scheme val="major"/>
      </font>
    </dxf>
    <dxf>
      <fill>
        <patternFill>
          <bgColor rgb="FFFF0000"/>
        </patternFill>
      </fill>
    </dxf>
    <dxf>
      <fill>
        <patternFill>
          <bgColor rgb="FFFF9B9B"/>
        </patternFill>
      </fill>
    </dxf>
    <dxf>
      <fill>
        <patternFill>
          <bgColor theme="7" tint="0.59996337778862885"/>
        </patternFill>
      </fill>
    </dxf>
    <dxf>
      <fill>
        <patternFill>
          <bgColor rgb="FF92D050"/>
        </patternFill>
      </fill>
    </dxf>
    <dxf>
      <fill>
        <patternFill>
          <bgColor rgb="FF00B050"/>
        </patternFill>
      </fill>
    </dxf>
    <dxf>
      <fill>
        <patternFill patternType="none">
          <bgColor auto="1"/>
        </patternFill>
      </fill>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 formatCode="0"/>
      <fill>
        <patternFill patternType="solid">
          <fgColor rgb="FFD8D8D8"/>
          <bgColor rgb="FFD8D8D8"/>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major"/>
      </font>
      <fill>
        <patternFill patternType="solid">
          <fgColor rgb="FFFEF2CB"/>
          <bgColor rgb="FFFEF2CB"/>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bottom style="thin">
          <color indexed="64"/>
        </bottom>
      </border>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dxf>
    <dxf>
      <font>
        <strike val="0"/>
        <outline val="0"/>
        <shadow val="0"/>
        <u val="none"/>
        <vertAlign val="baseline"/>
        <name val="Arial"/>
        <family val="2"/>
        <scheme val="major"/>
      </font>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rgb="FFD8D8D8"/>
          <bgColor rgb="FFD8D8D8"/>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major"/>
      </font>
      <numFmt numFmtId="0" formatCode="General"/>
      <fill>
        <patternFill patternType="solid">
          <fgColor rgb="FFFEF2CB"/>
          <bgColor rgb="FFFEF2CB"/>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bottom style="thin">
          <color indexed="64"/>
        </bottom>
      </border>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dxf>
    <dxf>
      <font>
        <b/>
        <i val="0"/>
        <strike val="0"/>
        <condense val="0"/>
        <extend val="0"/>
        <outline val="0"/>
        <shadow val="0"/>
        <u val="none"/>
        <vertAlign val="baseline"/>
        <sz val="11"/>
        <color theme="1"/>
        <name val="Arial"/>
        <family val="2"/>
        <scheme val="major"/>
      </font>
      <fill>
        <patternFill patternType="solid">
          <fgColor rgb="FFBDD6EE"/>
          <bgColor rgb="FFFFFF0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4" formatCode="0.00%"/>
      <fill>
        <patternFill patternType="solid">
          <fgColor rgb="FFD8D8D8"/>
          <bgColor rgb="FFD8D8D8"/>
        </patternFill>
      </fill>
      <alignment horizontal="center" vertical="center" textRotation="0" wrapText="1" indent="0" justifyLastLine="0" shrinkToFit="0" readingOrder="0"/>
      <border diagonalUp="0" diagonalDown="0" outline="0">
        <left style="thin">
          <color indexed="64"/>
        </left>
        <right style="thin">
          <color rgb="FF000000"/>
        </right>
        <top style="thin">
          <color rgb="FF000000"/>
        </top>
        <bottom style="thin">
          <color rgb="FF000000"/>
        </bottom>
      </border>
      <protection locked="0" hidden="0"/>
    </dxf>
    <dxf>
      <font>
        <b/>
        <i val="0"/>
        <strike val="0"/>
        <condense val="0"/>
        <extend val="0"/>
        <outline val="0"/>
        <shadow val="0"/>
        <u val="none"/>
        <vertAlign val="baseline"/>
        <sz val="12"/>
        <color theme="1"/>
        <name val="Arial"/>
        <family val="2"/>
        <scheme val="major"/>
      </font>
      <fill>
        <patternFill patternType="solid">
          <fgColor rgb="FFFEF2CB"/>
          <bgColor rgb="FFFEF2CB"/>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dxf>
    <dxf>
      <font>
        <strike val="0"/>
        <outline val="0"/>
        <shadow val="0"/>
        <vertAlign val="baseline"/>
        <name val="Arial"/>
        <family val="2"/>
        <scheme val="major"/>
      </font>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major"/>
      </font>
      <numFmt numFmtId="14" formatCode="0.00%"/>
      <fill>
        <patternFill patternType="solid">
          <fgColor rgb="FFD8D8D8"/>
          <bgColor rgb="FFD8D8D8"/>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major"/>
      </font>
      <numFmt numFmtId="0" formatCode="General"/>
      <fill>
        <patternFill patternType="solid">
          <fgColor rgb="FFFEF2CB"/>
          <bgColor rgb="FFFEF2CB"/>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bottom style="thin">
          <color indexed="64"/>
        </bottom>
      </border>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dxf>
    <dxf>
      <font>
        <b/>
        <i val="0"/>
        <strike val="0"/>
        <condense val="0"/>
        <extend val="0"/>
        <outline val="0"/>
        <shadow val="0"/>
        <u val="none"/>
        <vertAlign val="baseline"/>
        <sz val="11"/>
        <color theme="1"/>
        <name val="Arial"/>
        <family val="2"/>
        <scheme val="major"/>
      </font>
      <fill>
        <patternFill patternType="solid">
          <fgColor rgb="FFBDD6EE"/>
          <bgColor rgb="FFFFFF0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numFmt numFmtId="1"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protection locked="0" hidden="0"/>
    </dxf>
    <dxf>
      <font>
        <b val="0"/>
        <i val="0"/>
        <strike val="0"/>
        <condense val="0"/>
        <extend val="0"/>
        <outline val="0"/>
        <shadow val="0"/>
        <u val="none"/>
        <vertAlign val="baseline"/>
        <sz val="11"/>
        <color theme="1"/>
        <name val="Arial"/>
        <family val="2"/>
        <scheme val="maj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3" formatCode="#,##0"/>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major"/>
      </font>
      <numFmt numFmtId="3" formatCode="#,##0"/>
      <fill>
        <patternFill patternType="solid">
          <fgColor rgb="FFD8D8D8"/>
          <bgColor theme="4" tint="0.79998168889431442"/>
        </patternFill>
      </fill>
      <alignment horizontal="center" vertical="center" textRotation="0" wrapText="1" indent="0" justifyLastLine="0" shrinkToFit="0" readingOrder="0"/>
      <border diagonalUp="0" diagonalDown="0" outline="0">
        <left style="thin">
          <color indexed="64"/>
        </left>
        <right style="thin">
          <color rgb="FF000000"/>
        </right>
        <top style="thin">
          <color rgb="FF000000"/>
        </top>
        <bottom style="thin">
          <color rgb="FF000000"/>
        </bottom>
      </border>
    </dxf>
    <dxf>
      <font>
        <b/>
        <i val="0"/>
        <strike val="0"/>
        <condense val="0"/>
        <extend val="0"/>
        <outline val="0"/>
        <shadow val="0"/>
        <u val="none"/>
        <vertAlign val="baseline"/>
        <sz val="12"/>
        <color auto="1"/>
        <name val="Arial"/>
        <family val="2"/>
        <scheme val="major"/>
      </font>
      <fill>
        <patternFill patternType="solid">
          <fgColor rgb="FFFEF2CB"/>
          <bgColor rgb="FFFEF2CB"/>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border outline="0">
        <right style="thin">
          <color indexed="64"/>
        </right>
      </border>
    </dxf>
    <dxf>
      <font>
        <strike val="0"/>
        <outline val="0"/>
        <shadow val="0"/>
        <u val="none"/>
        <vertAlign val="baseline"/>
        <name val="Arial"/>
        <family val="2"/>
        <scheme val="major"/>
      </font>
    </dxf>
    <dxf>
      <font>
        <b/>
        <i val="0"/>
        <strike val="0"/>
        <condense val="0"/>
        <extend val="0"/>
        <outline val="0"/>
        <shadow val="0"/>
        <u val="none"/>
        <vertAlign val="baseline"/>
        <sz val="11"/>
        <color theme="1"/>
        <name val="Arial"/>
        <family val="2"/>
        <scheme val="major"/>
      </font>
      <fill>
        <patternFill patternType="solid">
          <fgColor rgb="FFBDD6EE"/>
          <bgColor rgb="FFFFFF00"/>
        </patternFill>
      </fill>
      <alignment horizontal="center" vertical="center" textRotation="0" wrapText="1" indent="0" justifyLastLine="0" shrinkToFit="0" readingOrder="0"/>
    </dxf>
    <dxf>
      <font>
        <b/>
        <i val="0"/>
        <color theme="0"/>
      </font>
      <fill>
        <patternFill>
          <bgColor rgb="FFFF0000"/>
        </patternFill>
      </fill>
    </dxf>
  </dxfs>
  <tableStyles count="0" defaultTableStyle="TableStyleMedium2" defaultPivotStyle="PivotStyleLight16"/>
  <colors>
    <mruColors>
      <color rgb="FFFF4F4F"/>
      <color rgb="FF00B050"/>
      <color rgb="FF004077"/>
      <color rgb="FF009AA6"/>
      <color rgb="FF484F58"/>
      <color rgb="FF7BB801"/>
      <color rgb="FFFF6E15"/>
      <color rgb="FFFF9B9B"/>
      <color rgb="FFFF6464"/>
      <color rgb="FF9CC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absolute">
    <xdr:from>
      <xdr:col>1</xdr:col>
      <xdr:colOff>8305801</xdr:colOff>
      <xdr:row>0</xdr:row>
      <xdr:rowOff>25401</xdr:rowOff>
    </xdr:from>
    <xdr:to>
      <xdr:col>2</xdr:col>
      <xdr:colOff>18364</xdr:colOff>
      <xdr:row>4</xdr:row>
      <xdr:rowOff>57913</xdr:rowOff>
    </xdr:to>
    <xdr:pic>
      <xdr:nvPicPr>
        <xdr:cNvPr id="2" name="Picture 1">
          <a:extLst>
            <a:ext uri="{FF2B5EF4-FFF2-40B4-BE49-F238E27FC236}">
              <a16:creationId xmlns:a16="http://schemas.microsoft.com/office/drawing/2014/main" id="{35FCA269-A675-D84D-9599-E2AF9A9DDEBB}"/>
            </a:ext>
          </a:extLst>
        </xdr:cNvPr>
        <xdr:cNvPicPr>
          <a:picLocks noChangeAspect="1"/>
        </xdr:cNvPicPr>
      </xdr:nvPicPr>
      <xdr:blipFill>
        <a:blip xmlns:r="http://schemas.openxmlformats.org/officeDocument/2006/relationships" r:embed="rId1"/>
        <a:stretch>
          <a:fillRect/>
        </a:stretch>
      </xdr:blipFill>
      <xdr:spPr>
        <a:xfrm>
          <a:off x="8597901" y="25401"/>
          <a:ext cx="2647263" cy="896112"/>
        </a:xfrm>
        <a:prstGeom prst="rect">
          <a:avLst/>
        </a:prstGeom>
      </xdr:spPr>
    </xdr:pic>
    <xdr:clientData/>
  </xdr:twoCellAnchor>
  <xdr:twoCellAnchor editAs="oneCell">
    <xdr:from>
      <xdr:col>1</xdr:col>
      <xdr:colOff>8197195</xdr:colOff>
      <xdr:row>42</xdr:row>
      <xdr:rowOff>25400</xdr:rowOff>
    </xdr:from>
    <xdr:to>
      <xdr:col>2</xdr:col>
      <xdr:colOff>150587</xdr:colOff>
      <xdr:row>45</xdr:row>
      <xdr:rowOff>165101</xdr:rowOff>
    </xdr:to>
    <xdr:pic>
      <xdr:nvPicPr>
        <xdr:cNvPr id="3" name="Picture 2">
          <a:extLst>
            <a:ext uri="{FF2B5EF4-FFF2-40B4-BE49-F238E27FC236}">
              <a16:creationId xmlns:a16="http://schemas.microsoft.com/office/drawing/2014/main" id="{EC41AC70-3DBE-284C-9851-C64A74FDCAE4}"/>
            </a:ext>
          </a:extLst>
        </xdr:cNvPr>
        <xdr:cNvPicPr>
          <a:picLocks noChangeAspect="1"/>
        </xdr:cNvPicPr>
      </xdr:nvPicPr>
      <xdr:blipFill rotWithShape="1">
        <a:blip xmlns:r="http://schemas.openxmlformats.org/officeDocument/2006/relationships" r:embed="rId2"/>
        <a:srcRect l="3712" t="32933" b="32935"/>
        <a:stretch/>
      </xdr:blipFill>
      <xdr:spPr>
        <a:xfrm>
          <a:off x="8197195" y="26365200"/>
          <a:ext cx="2888092" cy="673101"/>
        </a:xfrm>
        <a:prstGeom prst="rect">
          <a:avLst/>
        </a:prstGeom>
      </xdr:spPr>
    </xdr:pic>
    <xdr:clientData/>
  </xdr:twoCellAnchor>
  <xdr:twoCellAnchor editAs="oneCell">
    <xdr:from>
      <xdr:col>1</xdr:col>
      <xdr:colOff>5156200</xdr:colOff>
      <xdr:row>42</xdr:row>
      <xdr:rowOff>123373</xdr:rowOff>
    </xdr:from>
    <xdr:to>
      <xdr:col>1</xdr:col>
      <xdr:colOff>7848059</xdr:colOff>
      <xdr:row>45</xdr:row>
      <xdr:rowOff>165101</xdr:rowOff>
    </xdr:to>
    <xdr:pic>
      <xdr:nvPicPr>
        <xdr:cNvPr id="4" name="Picture 3">
          <a:extLst>
            <a:ext uri="{FF2B5EF4-FFF2-40B4-BE49-F238E27FC236}">
              <a16:creationId xmlns:a16="http://schemas.microsoft.com/office/drawing/2014/main" id="{344AD048-B0FE-F04E-A0B2-9205A2FFE0E0}"/>
            </a:ext>
          </a:extLst>
        </xdr:cNvPr>
        <xdr:cNvPicPr>
          <a:picLocks noChangeAspect="1"/>
        </xdr:cNvPicPr>
      </xdr:nvPicPr>
      <xdr:blipFill>
        <a:blip xmlns:r="http://schemas.openxmlformats.org/officeDocument/2006/relationships" r:embed="rId3"/>
        <a:stretch>
          <a:fillRect/>
        </a:stretch>
      </xdr:blipFill>
      <xdr:spPr>
        <a:xfrm>
          <a:off x="5156200" y="26463173"/>
          <a:ext cx="2691859" cy="5751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5228771</xdr:colOff>
      <xdr:row>0</xdr:row>
      <xdr:rowOff>0</xdr:rowOff>
    </xdr:from>
    <xdr:to>
      <xdr:col>2</xdr:col>
      <xdr:colOff>267567</xdr:colOff>
      <xdr:row>1</xdr:row>
      <xdr:rowOff>1333501</xdr:rowOff>
    </xdr:to>
    <xdr:pic>
      <xdr:nvPicPr>
        <xdr:cNvPr id="2" name="Picture 1">
          <a:extLst>
            <a:ext uri="{FF2B5EF4-FFF2-40B4-BE49-F238E27FC236}">
              <a16:creationId xmlns:a16="http://schemas.microsoft.com/office/drawing/2014/main" id="{38288878-3419-6A4D-05C2-C1BC5EE6DFFF}"/>
            </a:ext>
          </a:extLst>
        </xdr:cNvPr>
        <xdr:cNvPicPr>
          <a:picLocks noChangeAspect="1"/>
        </xdr:cNvPicPr>
      </xdr:nvPicPr>
      <xdr:blipFill>
        <a:blip xmlns:r="http://schemas.openxmlformats.org/officeDocument/2006/relationships" r:embed="rId1"/>
        <a:stretch>
          <a:fillRect/>
        </a:stretch>
      </xdr:blipFill>
      <xdr:spPr>
        <a:xfrm>
          <a:off x="8175171" y="0"/>
          <a:ext cx="5440096" cy="1841501"/>
        </a:xfrm>
        <a:prstGeom prst="rect">
          <a:avLst/>
        </a:prstGeom>
      </xdr:spPr>
    </xdr:pic>
    <xdr:clientData/>
  </xdr:twoCellAnchor>
  <xdr:twoCellAnchor editAs="oneCell">
    <xdr:from>
      <xdr:col>1</xdr:col>
      <xdr:colOff>7741808</xdr:colOff>
      <xdr:row>15</xdr:row>
      <xdr:rowOff>63499</xdr:rowOff>
    </xdr:from>
    <xdr:to>
      <xdr:col>2</xdr:col>
      <xdr:colOff>228600</xdr:colOff>
      <xdr:row>18</xdr:row>
      <xdr:rowOff>165100</xdr:rowOff>
    </xdr:to>
    <xdr:pic>
      <xdr:nvPicPr>
        <xdr:cNvPr id="3" name="Picture 2">
          <a:extLst>
            <a:ext uri="{FF2B5EF4-FFF2-40B4-BE49-F238E27FC236}">
              <a16:creationId xmlns:a16="http://schemas.microsoft.com/office/drawing/2014/main" id="{98D86E4C-7CBF-6E35-901E-77DDB569D67A}"/>
            </a:ext>
          </a:extLst>
        </xdr:cNvPr>
        <xdr:cNvPicPr>
          <a:picLocks noChangeAspect="1"/>
        </xdr:cNvPicPr>
      </xdr:nvPicPr>
      <xdr:blipFill rotWithShape="1">
        <a:blip xmlns:r="http://schemas.openxmlformats.org/officeDocument/2006/relationships" r:embed="rId2"/>
        <a:srcRect l="3712" t="32933" b="32935"/>
        <a:stretch/>
      </xdr:blipFill>
      <xdr:spPr>
        <a:xfrm>
          <a:off x="10688208" y="7137399"/>
          <a:ext cx="2888092" cy="673101"/>
        </a:xfrm>
        <a:prstGeom prst="rect">
          <a:avLst/>
        </a:prstGeom>
      </xdr:spPr>
    </xdr:pic>
    <xdr:clientData/>
  </xdr:twoCellAnchor>
  <xdr:twoCellAnchor editAs="oneCell">
    <xdr:from>
      <xdr:col>1</xdr:col>
      <xdr:colOff>4700813</xdr:colOff>
      <xdr:row>15</xdr:row>
      <xdr:rowOff>161472</xdr:rowOff>
    </xdr:from>
    <xdr:to>
      <xdr:col>1</xdr:col>
      <xdr:colOff>7392672</xdr:colOff>
      <xdr:row>18</xdr:row>
      <xdr:rowOff>165100</xdr:rowOff>
    </xdr:to>
    <xdr:pic>
      <xdr:nvPicPr>
        <xdr:cNvPr id="4" name="Picture 3">
          <a:extLst>
            <a:ext uri="{FF2B5EF4-FFF2-40B4-BE49-F238E27FC236}">
              <a16:creationId xmlns:a16="http://schemas.microsoft.com/office/drawing/2014/main" id="{33ED6A47-0B7B-F341-15E5-8174EC0B4EBF}"/>
            </a:ext>
          </a:extLst>
        </xdr:cNvPr>
        <xdr:cNvPicPr>
          <a:picLocks noChangeAspect="1"/>
        </xdr:cNvPicPr>
      </xdr:nvPicPr>
      <xdr:blipFill>
        <a:blip xmlns:r="http://schemas.openxmlformats.org/officeDocument/2006/relationships" r:embed="rId3"/>
        <a:stretch>
          <a:fillRect/>
        </a:stretch>
      </xdr:blipFill>
      <xdr:spPr>
        <a:xfrm>
          <a:off x="7774213" y="7336972"/>
          <a:ext cx="2691859" cy="5751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217515</xdr:colOff>
      <xdr:row>0</xdr:row>
      <xdr:rowOff>0</xdr:rowOff>
    </xdr:from>
    <xdr:to>
      <xdr:col>4</xdr:col>
      <xdr:colOff>1001485</xdr:colOff>
      <xdr:row>0</xdr:row>
      <xdr:rowOff>1460500</xdr:rowOff>
    </xdr:to>
    <xdr:pic>
      <xdr:nvPicPr>
        <xdr:cNvPr id="2" name="Picture 1">
          <a:extLst>
            <a:ext uri="{FF2B5EF4-FFF2-40B4-BE49-F238E27FC236}">
              <a16:creationId xmlns:a16="http://schemas.microsoft.com/office/drawing/2014/main" id="{A98004C4-9B5E-EB46-9E87-01BAA8E5ADC0}"/>
            </a:ext>
          </a:extLst>
        </xdr:cNvPr>
        <xdr:cNvPicPr>
          <a:picLocks noChangeAspect="1"/>
        </xdr:cNvPicPr>
      </xdr:nvPicPr>
      <xdr:blipFill>
        <a:blip xmlns:r="http://schemas.openxmlformats.org/officeDocument/2006/relationships" r:embed="rId1"/>
        <a:stretch>
          <a:fillRect/>
        </a:stretch>
      </xdr:blipFill>
      <xdr:spPr>
        <a:xfrm>
          <a:off x="3951315" y="0"/>
          <a:ext cx="4454270" cy="1460500"/>
        </a:xfrm>
        <a:prstGeom prst="rect">
          <a:avLst/>
        </a:prstGeom>
      </xdr:spPr>
    </xdr:pic>
    <xdr:clientData/>
  </xdr:twoCellAnchor>
  <xdr:twoCellAnchor editAs="oneCell">
    <xdr:from>
      <xdr:col>2</xdr:col>
      <xdr:colOff>731964</xdr:colOff>
      <xdr:row>29</xdr:row>
      <xdr:rowOff>134055</xdr:rowOff>
    </xdr:from>
    <xdr:to>
      <xdr:col>5</xdr:col>
      <xdr:colOff>287130</xdr:colOff>
      <xdr:row>33</xdr:row>
      <xdr:rowOff>121356</xdr:rowOff>
    </xdr:to>
    <xdr:pic>
      <xdr:nvPicPr>
        <xdr:cNvPr id="3" name="Picture 2">
          <a:extLst>
            <a:ext uri="{FF2B5EF4-FFF2-40B4-BE49-F238E27FC236}">
              <a16:creationId xmlns:a16="http://schemas.microsoft.com/office/drawing/2014/main" id="{73F612CB-BE21-1446-BB77-7E8D34C86B7E}"/>
            </a:ext>
          </a:extLst>
        </xdr:cNvPr>
        <xdr:cNvPicPr>
          <a:picLocks noChangeAspect="1"/>
        </xdr:cNvPicPr>
      </xdr:nvPicPr>
      <xdr:blipFill rotWithShape="1">
        <a:blip xmlns:r="http://schemas.openxmlformats.org/officeDocument/2006/relationships" r:embed="rId2"/>
        <a:srcRect l="3712" t="32933" b="32935"/>
        <a:stretch/>
      </xdr:blipFill>
      <xdr:spPr>
        <a:xfrm>
          <a:off x="5910742" y="7965722"/>
          <a:ext cx="3111166" cy="721078"/>
        </a:xfrm>
        <a:prstGeom prst="rect">
          <a:avLst/>
        </a:prstGeom>
      </xdr:spPr>
    </xdr:pic>
    <xdr:clientData/>
  </xdr:twoCellAnchor>
  <xdr:twoCellAnchor editAs="oneCell">
    <xdr:from>
      <xdr:col>1</xdr:col>
      <xdr:colOff>40923</xdr:colOff>
      <xdr:row>30</xdr:row>
      <xdr:rowOff>99384</xdr:rowOff>
    </xdr:from>
    <xdr:to>
      <xdr:col>2</xdr:col>
      <xdr:colOff>694267</xdr:colOff>
      <xdr:row>33</xdr:row>
      <xdr:rowOff>4698</xdr:rowOff>
    </xdr:to>
    <xdr:pic>
      <xdr:nvPicPr>
        <xdr:cNvPr id="4" name="Picture 3">
          <a:extLst>
            <a:ext uri="{FF2B5EF4-FFF2-40B4-BE49-F238E27FC236}">
              <a16:creationId xmlns:a16="http://schemas.microsoft.com/office/drawing/2014/main" id="{1495DD93-5B16-2D4F-99AA-F9EC0AADCD0A}"/>
            </a:ext>
          </a:extLst>
        </xdr:cNvPr>
        <xdr:cNvPicPr>
          <a:picLocks noChangeAspect="1"/>
        </xdr:cNvPicPr>
      </xdr:nvPicPr>
      <xdr:blipFill>
        <a:blip xmlns:r="http://schemas.openxmlformats.org/officeDocument/2006/relationships" r:embed="rId3"/>
        <a:stretch>
          <a:fillRect/>
        </a:stretch>
      </xdr:blipFill>
      <xdr:spPr>
        <a:xfrm>
          <a:off x="3780367" y="8114495"/>
          <a:ext cx="2092678" cy="450003"/>
        </a:xfrm>
        <a:prstGeom prst="rect">
          <a:avLst/>
        </a:prstGeom>
      </xdr:spPr>
    </xdr:pic>
    <xdr:clientData/>
  </xdr:twoCellAnchor>
  <xdr:twoCellAnchor editAs="absolute">
    <xdr:from>
      <xdr:col>0</xdr:col>
      <xdr:colOff>12700</xdr:colOff>
      <xdr:row>0</xdr:row>
      <xdr:rowOff>1003300</xdr:rowOff>
    </xdr:from>
    <xdr:to>
      <xdr:col>0</xdr:col>
      <xdr:colOff>3695699</xdr:colOff>
      <xdr:row>1</xdr:row>
      <xdr:rowOff>1790700</xdr:rowOff>
    </xdr:to>
    <xdr:sp macro="" textlink="">
      <xdr:nvSpPr>
        <xdr:cNvPr id="6" name="TextBox 5">
          <a:extLst>
            <a:ext uri="{FF2B5EF4-FFF2-40B4-BE49-F238E27FC236}">
              <a16:creationId xmlns:a16="http://schemas.microsoft.com/office/drawing/2014/main" id="{B645152B-E9D7-CC43-8E65-D657A695757A}"/>
            </a:ext>
          </a:extLst>
        </xdr:cNvPr>
        <xdr:cNvSpPr txBox="1"/>
      </xdr:nvSpPr>
      <xdr:spPr>
        <a:xfrm>
          <a:off x="12700" y="1003300"/>
          <a:ext cx="3682999" cy="2311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u="none" strike="noStrike">
              <a:solidFill>
                <a:srgbClr val="004077"/>
              </a:solidFill>
              <a:effectLst/>
              <a:latin typeface="+mn-lt"/>
              <a:ea typeface="+mn-ea"/>
              <a:cs typeface="+mn-cs"/>
            </a:rPr>
            <a:t>Enter counts for each learner group for each indicator (cells E4-AH14). You may copy and paste or enter counts directly into the worksheet. In addition, enter total male learners, total female learners and overall total counts for each indicator (cells B4-D14) and total counts for each learner group in the community (cells B3-AH3).</a:t>
          </a:r>
        </a:p>
        <a:p>
          <a:pPr algn="ctr"/>
          <a:endParaRPr lang="en-US" sz="1150" b="1" i="1">
            <a:solidFill>
              <a:srgbClr val="004077"/>
            </a:solidFill>
            <a:effectLst/>
            <a:latin typeface="+mn-lt"/>
            <a:ea typeface="+mn-ea"/>
            <a:cs typeface="+mn-cs"/>
          </a:endParaRPr>
        </a:p>
        <a:p>
          <a:pPr algn="ctr"/>
          <a:r>
            <a:rPr lang="en-US" sz="1150" b="1" i="1">
              <a:solidFill>
                <a:srgbClr val="004077"/>
              </a:solidFill>
              <a:effectLst/>
              <a:latin typeface="+mn-lt"/>
              <a:ea typeface="+mn-ea"/>
              <a:cs typeface="+mn-cs"/>
            </a:rPr>
            <a:t>The workbook will give you a warning below the table, in </a:t>
          </a:r>
          <a:r>
            <a:rPr lang="en-US" sz="1150" b="1" i="1">
              <a:solidFill>
                <a:srgbClr val="FF0000"/>
              </a:solidFill>
              <a:effectLst/>
              <a:latin typeface="+mn-lt"/>
              <a:ea typeface="+mn-ea"/>
              <a:cs typeface="+mn-cs"/>
            </a:rPr>
            <a:t>red,</a:t>
          </a:r>
          <a:r>
            <a:rPr lang="en-US" sz="1150" b="1" i="1">
              <a:solidFill>
                <a:srgbClr val="004077"/>
              </a:solidFill>
              <a:effectLst/>
              <a:latin typeface="+mn-lt"/>
              <a:ea typeface="+mn-ea"/>
              <a:cs typeface="+mn-cs"/>
            </a:rPr>
            <a:t> if there is a discrepancy between the counts entered for particular learner groups and total counts.</a:t>
          </a:r>
          <a:endParaRPr lang="en-US" sz="1150" b="1" i="1">
            <a:solidFill>
              <a:srgbClr val="004077"/>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108859</xdr:colOff>
      <xdr:row>0</xdr:row>
      <xdr:rowOff>114299</xdr:rowOff>
    </xdr:from>
    <xdr:to>
      <xdr:col>4</xdr:col>
      <xdr:colOff>901700</xdr:colOff>
      <xdr:row>0</xdr:row>
      <xdr:rowOff>1398648</xdr:rowOff>
    </xdr:to>
    <xdr:pic>
      <xdr:nvPicPr>
        <xdr:cNvPr id="2" name="Picture 1">
          <a:extLst>
            <a:ext uri="{FF2B5EF4-FFF2-40B4-BE49-F238E27FC236}">
              <a16:creationId xmlns:a16="http://schemas.microsoft.com/office/drawing/2014/main" id="{F5CDEFE3-FA3F-954E-95C4-4F07C0B35237}"/>
            </a:ext>
          </a:extLst>
        </xdr:cNvPr>
        <xdr:cNvPicPr>
          <a:picLocks noChangeAspect="1"/>
        </xdr:cNvPicPr>
      </xdr:nvPicPr>
      <xdr:blipFill>
        <a:blip xmlns:r="http://schemas.openxmlformats.org/officeDocument/2006/relationships" r:embed="rId1"/>
        <a:stretch>
          <a:fillRect/>
        </a:stretch>
      </xdr:blipFill>
      <xdr:spPr>
        <a:xfrm>
          <a:off x="3537859" y="114299"/>
          <a:ext cx="3917041" cy="1284349"/>
        </a:xfrm>
        <a:prstGeom prst="rect">
          <a:avLst/>
        </a:prstGeom>
      </xdr:spPr>
    </xdr:pic>
    <xdr:clientData/>
  </xdr:twoCellAnchor>
  <xdr:twoCellAnchor editAs="oneCell">
    <xdr:from>
      <xdr:col>3</xdr:col>
      <xdr:colOff>328386</xdr:colOff>
      <xdr:row>16</xdr:row>
      <xdr:rowOff>127000</xdr:rowOff>
    </xdr:from>
    <xdr:to>
      <xdr:col>6</xdr:col>
      <xdr:colOff>596900</xdr:colOff>
      <xdr:row>20</xdr:row>
      <xdr:rowOff>177512</xdr:rowOff>
    </xdr:to>
    <xdr:pic>
      <xdr:nvPicPr>
        <xdr:cNvPr id="3" name="Picture 2">
          <a:extLst>
            <a:ext uri="{FF2B5EF4-FFF2-40B4-BE49-F238E27FC236}">
              <a16:creationId xmlns:a16="http://schemas.microsoft.com/office/drawing/2014/main" id="{7E0A67FC-D443-0D4E-B0F2-83C8A40F59BC}"/>
            </a:ext>
          </a:extLst>
        </xdr:cNvPr>
        <xdr:cNvPicPr>
          <a:picLocks noChangeAspect="1"/>
        </xdr:cNvPicPr>
      </xdr:nvPicPr>
      <xdr:blipFill rotWithShape="1">
        <a:blip xmlns:r="http://schemas.openxmlformats.org/officeDocument/2006/relationships" r:embed="rId2"/>
        <a:srcRect l="3712" t="32933" b="32935"/>
        <a:stretch/>
      </xdr:blipFill>
      <xdr:spPr>
        <a:xfrm>
          <a:off x="5967186" y="5753100"/>
          <a:ext cx="3392714" cy="761711"/>
        </a:xfrm>
        <a:prstGeom prst="rect">
          <a:avLst/>
        </a:prstGeom>
      </xdr:spPr>
    </xdr:pic>
    <xdr:clientData/>
  </xdr:twoCellAnchor>
  <xdr:twoCellAnchor editAs="oneCell">
    <xdr:from>
      <xdr:col>1</xdr:col>
      <xdr:colOff>38101</xdr:colOff>
      <xdr:row>17</xdr:row>
      <xdr:rowOff>81040</xdr:rowOff>
    </xdr:from>
    <xdr:to>
      <xdr:col>3</xdr:col>
      <xdr:colOff>266701</xdr:colOff>
      <xdr:row>20</xdr:row>
      <xdr:rowOff>53277</xdr:rowOff>
    </xdr:to>
    <xdr:pic>
      <xdr:nvPicPr>
        <xdr:cNvPr id="4" name="Picture 3">
          <a:extLst>
            <a:ext uri="{FF2B5EF4-FFF2-40B4-BE49-F238E27FC236}">
              <a16:creationId xmlns:a16="http://schemas.microsoft.com/office/drawing/2014/main" id="{1F213B5C-A7F7-C445-9AE7-51C3706CE0E0}"/>
            </a:ext>
          </a:extLst>
        </xdr:cNvPr>
        <xdr:cNvPicPr>
          <a:picLocks noChangeAspect="1"/>
        </xdr:cNvPicPr>
      </xdr:nvPicPr>
      <xdr:blipFill>
        <a:blip xmlns:r="http://schemas.openxmlformats.org/officeDocument/2006/relationships" r:embed="rId3"/>
        <a:stretch>
          <a:fillRect/>
        </a:stretch>
      </xdr:blipFill>
      <xdr:spPr>
        <a:xfrm>
          <a:off x="3467101" y="5884940"/>
          <a:ext cx="2438400" cy="505637"/>
        </a:xfrm>
        <a:prstGeom prst="rect">
          <a:avLst/>
        </a:prstGeom>
      </xdr:spPr>
    </xdr:pic>
    <xdr:clientData/>
  </xdr:twoCellAnchor>
  <xdr:twoCellAnchor editAs="absolute">
    <xdr:from>
      <xdr:col>0</xdr:col>
      <xdr:colOff>0</xdr:colOff>
      <xdr:row>0</xdr:row>
      <xdr:rowOff>931333</xdr:rowOff>
    </xdr:from>
    <xdr:to>
      <xdr:col>0</xdr:col>
      <xdr:colOff>4261556</xdr:colOff>
      <xdr:row>1</xdr:row>
      <xdr:rowOff>1143000</xdr:rowOff>
    </xdr:to>
    <xdr:sp macro="" textlink="">
      <xdr:nvSpPr>
        <xdr:cNvPr id="6" name="TextBox 5">
          <a:extLst>
            <a:ext uri="{FF2B5EF4-FFF2-40B4-BE49-F238E27FC236}">
              <a16:creationId xmlns:a16="http://schemas.microsoft.com/office/drawing/2014/main" id="{016891BA-B009-7948-A29F-1AB0D6DD8083}"/>
            </a:ext>
          </a:extLst>
        </xdr:cNvPr>
        <xdr:cNvSpPr txBox="1"/>
      </xdr:nvSpPr>
      <xdr:spPr>
        <a:xfrm>
          <a:off x="0" y="931333"/>
          <a:ext cx="4261556" cy="165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i="1">
              <a:solidFill>
                <a:srgbClr val="004077"/>
              </a:solidFill>
            </a:rPr>
            <a:t>See the current representation for each learner group for each indicator (cells C4-AH14) and for the total population for each indicator (cells B4-B14) as a percentage based on the counts entered in the previous tab. </a:t>
          </a:r>
        </a:p>
        <a:p>
          <a:pPr algn="ctr"/>
          <a:endParaRPr lang="en-US" sz="1200" b="1" i="1">
            <a:solidFill>
              <a:srgbClr val="004077"/>
            </a:solidFill>
          </a:endParaRPr>
        </a:p>
        <a:p>
          <a:pPr algn="ctr"/>
          <a:r>
            <a:rPr lang="en-US" sz="1200" b="1" i="1">
              <a:solidFill>
                <a:srgbClr val="004077"/>
              </a:solidFill>
            </a:rPr>
            <a:t>The current</a:t>
          </a:r>
          <a:r>
            <a:rPr lang="en-US" sz="1200" b="1" i="1" baseline="0">
              <a:solidFill>
                <a:srgbClr val="004077"/>
              </a:solidFill>
            </a:rPr>
            <a:t> representation of each learner group in the community (row 3) is provided as a reference.</a:t>
          </a:r>
          <a:endParaRPr lang="en-US" sz="1200" b="1" i="1">
            <a:solidFill>
              <a:srgbClr val="004077"/>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58636</xdr:colOff>
      <xdr:row>0</xdr:row>
      <xdr:rowOff>50800</xdr:rowOff>
    </xdr:from>
    <xdr:to>
      <xdr:col>4</xdr:col>
      <xdr:colOff>190499</xdr:colOff>
      <xdr:row>0</xdr:row>
      <xdr:rowOff>1265672</xdr:rowOff>
    </xdr:to>
    <xdr:pic>
      <xdr:nvPicPr>
        <xdr:cNvPr id="2" name="Picture 1">
          <a:extLst>
            <a:ext uri="{FF2B5EF4-FFF2-40B4-BE49-F238E27FC236}">
              <a16:creationId xmlns:a16="http://schemas.microsoft.com/office/drawing/2014/main" id="{8404C1E5-C187-7848-B09C-452A0A55F75F}"/>
            </a:ext>
          </a:extLst>
        </xdr:cNvPr>
        <xdr:cNvPicPr>
          <a:picLocks noChangeAspect="1"/>
        </xdr:cNvPicPr>
      </xdr:nvPicPr>
      <xdr:blipFill>
        <a:blip xmlns:r="http://schemas.openxmlformats.org/officeDocument/2006/relationships" r:embed="rId1"/>
        <a:stretch>
          <a:fillRect/>
        </a:stretch>
      </xdr:blipFill>
      <xdr:spPr>
        <a:xfrm>
          <a:off x="3932136" y="50800"/>
          <a:ext cx="3637063" cy="1214872"/>
        </a:xfrm>
        <a:prstGeom prst="rect">
          <a:avLst/>
        </a:prstGeom>
      </xdr:spPr>
    </xdr:pic>
    <xdr:clientData/>
  </xdr:twoCellAnchor>
  <xdr:twoCellAnchor editAs="oneCell">
    <xdr:from>
      <xdr:col>3</xdr:col>
      <xdr:colOff>486559</xdr:colOff>
      <xdr:row>34</xdr:row>
      <xdr:rowOff>38101</xdr:rowOff>
    </xdr:from>
    <xdr:to>
      <xdr:col>6</xdr:col>
      <xdr:colOff>874146</xdr:colOff>
      <xdr:row>37</xdr:row>
      <xdr:rowOff>165101</xdr:rowOff>
    </xdr:to>
    <xdr:pic>
      <xdr:nvPicPr>
        <xdr:cNvPr id="3" name="Picture 2">
          <a:extLst>
            <a:ext uri="{FF2B5EF4-FFF2-40B4-BE49-F238E27FC236}">
              <a16:creationId xmlns:a16="http://schemas.microsoft.com/office/drawing/2014/main" id="{67BB3C40-5CFC-7340-B804-4FF6B87D4BA6}"/>
            </a:ext>
          </a:extLst>
        </xdr:cNvPr>
        <xdr:cNvPicPr>
          <a:picLocks noChangeAspect="1"/>
        </xdr:cNvPicPr>
      </xdr:nvPicPr>
      <xdr:blipFill rotWithShape="1">
        <a:blip xmlns:r="http://schemas.openxmlformats.org/officeDocument/2006/relationships" r:embed="rId2"/>
        <a:srcRect l="3712" t="32933" b="32935"/>
        <a:stretch/>
      </xdr:blipFill>
      <xdr:spPr>
        <a:xfrm>
          <a:off x="6773059" y="10845801"/>
          <a:ext cx="3270487" cy="749300"/>
        </a:xfrm>
        <a:prstGeom prst="rect">
          <a:avLst/>
        </a:prstGeom>
      </xdr:spPr>
    </xdr:pic>
    <xdr:clientData/>
  </xdr:twoCellAnchor>
  <xdr:twoCellAnchor editAs="oneCell">
    <xdr:from>
      <xdr:col>1</xdr:col>
      <xdr:colOff>129889</xdr:colOff>
      <xdr:row>34</xdr:row>
      <xdr:rowOff>119140</xdr:rowOff>
    </xdr:from>
    <xdr:to>
      <xdr:col>3</xdr:col>
      <xdr:colOff>203201</xdr:colOff>
      <xdr:row>37</xdr:row>
      <xdr:rowOff>43986</xdr:rowOff>
    </xdr:to>
    <xdr:pic>
      <xdr:nvPicPr>
        <xdr:cNvPr id="4" name="Picture 3">
          <a:extLst>
            <a:ext uri="{FF2B5EF4-FFF2-40B4-BE49-F238E27FC236}">
              <a16:creationId xmlns:a16="http://schemas.microsoft.com/office/drawing/2014/main" id="{25354231-CF21-3C4E-BC92-3FA3D58454E8}"/>
            </a:ext>
          </a:extLst>
        </xdr:cNvPr>
        <xdr:cNvPicPr>
          <a:picLocks noChangeAspect="1"/>
        </xdr:cNvPicPr>
      </xdr:nvPicPr>
      <xdr:blipFill>
        <a:blip xmlns:r="http://schemas.openxmlformats.org/officeDocument/2006/relationships" r:embed="rId3"/>
        <a:stretch>
          <a:fillRect/>
        </a:stretch>
      </xdr:blipFill>
      <xdr:spPr>
        <a:xfrm>
          <a:off x="4003389" y="10926840"/>
          <a:ext cx="2575212" cy="547147"/>
        </a:xfrm>
        <a:prstGeom prst="rect">
          <a:avLst/>
        </a:prstGeom>
      </xdr:spPr>
    </xdr:pic>
    <xdr:clientData/>
  </xdr:twoCellAnchor>
  <xdr:twoCellAnchor editAs="absolute">
    <xdr:from>
      <xdr:col>0</xdr:col>
      <xdr:colOff>38100</xdr:colOff>
      <xdr:row>0</xdr:row>
      <xdr:rowOff>901700</xdr:rowOff>
    </xdr:from>
    <xdr:to>
      <xdr:col>0</xdr:col>
      <xdr:colOff>3833988</xdr:colOff>
      <xdr:row>1</xdr:row>
      <xdr:rowOff>1861258</xdr:rowOff>
    </xdr:to>
    <xdr:sp macro="" textlink="">
      <xdr:nvSpPr>
        <xdr:cNvPr id="6" name="TextBox 5">
          <a:extLst>
            <a:ext uri="{FF2B5EF4-FFF2-40B4-BE49-F238E27FC236}">
              <a16:creationId xmlns:a16="http://schemas.microsoft.com/office/drawing/2014/main" id="{ECAF12CF-B3D6-8949-B174-CFB7F72CA5E8}"/>
            </a:ext>
          </a:extLst>
        </xdr:cNvPr>
        <xdr:cNvSpPr txBox="1"/>
      </xdr:nvSpPr>
      <xdr:spPr>
        <a:xfrm>
          <a:off x="38100" y="901700"/>
          <a:ext cx="3795888" cy="23565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004077"/>
              </a:solidFill>
            </a:rPr>
            <a:t>Enter goal percentages for each learner group for each indicator (cells C4-AH14) and for the total population for each indicator (cells B4-B14).</a:t>
          </a:r>
        </a:p>
        <a:p>
          <a:pPr algn="ctr"/>
          <a:endParaRPr lang="en-US" sz="1100" b="1" i="1">
            <a:solidFill>
              <a:srgbClr val="004077"/>
            </a:solidFill>
          </a:endParaRPr>
        </a:p>
        <a:p>
          <a:pPr algn="ctr"/>
          <a:r>
            <a:rPr lang="en-US" sz="1100" b="1" i="1">
              <a:solidFill>
                <a:srgbClr val="004077"/>
              </a:solidFill>
            </a:rPr>
            <a:t>If you do not have data for an indicator or a learner group, </a:t>
          </a:r>
          <a:r>
            <a:rPr lang="en-US" sz="1100" b="1" i="1" u="sng">
              <a:solidFill>
                <a:srgbClr val="004077"/>
              </a:solidFill>
            </a:rPr>
            <a:t>leave the cells blank</a:t>
          </a:r>
          <a:r>
            <a:rPr lang="en-US" sz="1100" b="1" i="1">
              <a:solidFill>
                <a:srgbClr val="004077"/>
              </a:solidFill>
            </a:rPr>
            <a:t>.</a:t>
          </a:r>
        </a:p>
        <a:p>
          <a:pPr algn="ctr"/>
          <a:endParaRPr lang="en-US" sz="1100" b="1" i="1">
            <a:solidFill>
              <a:srgbClr val="004077"/>
            </a:solidFill>
          </a:endParaRPr>
        </a:p>
        <a:p>
          <a:pPr algn="ctr"/>
          <a:r>
            <a:rPr lang="en-US" sz="1100" b="1" i="1">
              <a:solidFill>
                <a:srgbClr val="004077"/>
              </a:solidFill>
            </a:rPr>
            <a:t>All data in row 3 is imported from the "Counts Entered by User" tab and </a:t>
          </a:r>
          <a:r>
            <a:rPr lang="en-US" sz="1100" b="1" i="1" u="sng">
              <a:solidFill>
                <a:srgbClr val="004077"/>
              </a:solidFill>
            </a:rPr>
            <a:t>should</a:t>
          </a:r>
          <a:r>
            <a:rPr lang="en-US" sz="1100" b="1" i="1" u="sng" baseline="0">
              <a:solidFill>
                <a:srgbClr val="004077"/>
              </a:solidFill>
            </a:rPr>
            <a:t> not be changed</a:t>
          </a:r>
          <a:r>
            <a:rPr lang="en-US" sz="1100" b="1" i="1" baseline="0">
              <a:solidFill>
                <a:srgbClr val="004077"/>
              </a:solidFill>
            </a:rPr>
            <a:t>, unless you are omitting a particular learner group from the analysis.</a:t>
          </a:r>
        </a:p>
        <a:p>
          <a:pPr algn="ctr"/>
          <a:endParaRPr lang="en-US" sz="1100" b="1" i="1" baseline="0">
            <a:solidFill>
              <a:srgbClr val="004077"/>
            </a:solidFill>
          </a:endParaRPr>
        </a:p>
        <a:p>
          <a:pPr algn="ctr"/>
          <a:r>
            <a:rPr lang="en-US" sz="1100" b="1" i="1" baseline="0">
              <a:solidFill>
                <a:srgbClr val="004077"/>
              </a:solidFill>
            </a:rPr>
            <a:t>The current representation is provided in the table below as a reference.</a:t>
          </a:r>
          <a:endParaRPr lang="en-US" sz="1100" b="1" i="1">
            <a:solidFill>
              <a:srgbClr val="004077"/>
            </a:solidFill>
          </a:endParaRPr>
        </a:p>
        <a:p>
          <a:pPr algn="ctr"/>
          <a:endParaRPr lang="en-US" sz="1100" b="1" i="1">
            <a:solidFill>
              <a:srgbClr val="004077"/>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140416</xdr:colOff>
      <xdr:row>0</xdr:row>
      <xdr:rowOff>56445</xdr:rowOff>
    </xdr:from>
    <xdr:to>
      <xdr:col>4</xdr:col>
      <xdr:colOff>635000</xdr:colOff>
      <xdr:row>0</xdr:row>
      <xdr:rowOff>1355990</xdr:rowOff>
    </xdr:to>
    <xdr:pic>
      <xdr:nvPicPr>
        <xdr:cNvPr id="2" name="Picture 1">
          <a:extLst>
            <a:ext uri="{FF2B5EF4-FFF2-40B4-BE49-F238E27FC236}">
              <a16:creationId xmlns:a16="http://schemas.microsoft.com/office/drawing/2014/main" id="{027A666C-100B-FF46-A484-7FA52839CF1C}"/>
            </a:ext>
          </a:extLst>
        </xdr:cNvPr>
        <xdr:cNvPicPr>
          <a:picLocks noChangeAspect="1"/>
        </xdr:cNvPicPr>
      </xdr:nvPicPr>
      <xdr:blipFill>
        <a:blip xmlns:r="http://schemas.openxmlformats.org/officeDocument/2006/relationships" r:embed="rId1"/>
        <a:stretch>
          <a:fillRect/>
        </a:stretch>
      </xdr:blipFill>
      <xdr:spPr>
        <a:xfrm>
          <a:off x="3569416" y="56445"/>
          <a:ext cx="3758484" cy="1299545"/>
        </a:xfrm>
        <a:prstGeom prst="rect">
          <a:avLst/>
        </a:prstGeom>
      </xdr:spPr>
    </xdr:pic>
    <xdr:clientData/>
  </xdr:twoCellAnchor>
  <xdr:twoCellAnchor editAs="oneCell">
    <xdr:from>
      <xdr:col>3</xdr:col>
      <xdr:colOff>568338</xdr:colOff>
      <xdr:row>16</xdr:row>
      <xdr:rowOff>114301</xdr:rowOff>
    </xdr:from>
    <xdr:to>
      <xdr:col>6</xdr:col>
      <xdr:colOff>937433</xdr:colOff>
      <xdr:row>20</xdr:row>
      <xdr:rowOff>25401</xdr:rowOff>
    </xdr:to>
    <xdr:pic>
      <xdr:nvPicPr>
        <xdr:cNvPr id="3" name="Picture 2">
          <a:extLst>
            <a:ext uri="{FF2B5EF4-FFF2-40B4-BE49-F238E27FC236}">
              <a16:creationId xmlns:a16="http://schemas.microsoft.com/office/drawing/2014/main" id="{D4739693-AF9E-4C46-985D-92689989F651}"/>
            </a:ext>
          </a:extLst>
        </xdr:cNvPr>
        <xdr:cNvPicPr>
          <a:picLocks noChangeAspect="1"/>
        </xdr:cNvPicPr>
      </xdr:nvPicPr>
      <xdr:blipFill rotWithShape="1">
        <a:blip xmlns:r="http://schemas.openxmlformats.org/officeDocument/2006/relationships" r:embed="rId2"/>
        <a:srcRect l="3712" t="32933" b="32935"/>
        <a:stretch/>
      </xdr:blipFill>
      <xdr:spPr>
        <a:xfrm>
          <a:off x="6346838" y="5740401"/>
          <a:ext cx="3378996" cy="800100"/>
        </a:xfrm>
        <a:prstGeom prst="rect">
          <a:avLst/>
        </a:prstGeom>
      </xdr:spPr>
    </xdr:pic>
    <xdr:clientData/>
  </xdr:twoCellAnchor>
  <xdr:twoCellAnchor editAs="oneCell">
    <xdr:from>
      <xdr:col>1</xdr:col>
      <xdr:colOff>177801</xdr:colOff>
      <xdr:row>17</xdr:row>
      <xdr:rowOff>35885</xdr:rowOff>
    </xdr:from>
    <xdr:to>
      <xdr:col>3</xdr:col>
      <xdr:colOff>355602</xdr:colOff>
      <xdr:row>19</xdr:row>
      <xdr:rowOff>61094</xdr:rowOff>
    </xdr:to>
    <xdr:pic>
      <xdr:nvPicPr>
        <xdr:cNvPr id="4" name="Picture 3">
          <a:extLst>
            <a:ext uri="{FF2B5EF4-FFF2-40B4-BE49-F238E27FC236}">
              <a16:creationId xmlns:a16="http://schemas.microsoft.com/office/drawing/2014/main" id="{F99F99EF-4A57-004B-BCFA-F1F74E7278A2}"/>
            </a:ext>
          </a:extLst>
        </xdr:cNvPr>
        <xdr:cNvPicPr>
          <a:picLocks noChangeAspect="1"/>
        </xdr:cNvPicPr>
      </xdr:nvPicPr>
      <xdr:blipFill>
        <a:blip xmlns:r="http://schemas.openxmlformats.org/officeDocument/2006/relationships" r:embed="rId3"/>
        <a:stretch>
          <a:fillRect/>
        </a:stretch>
      </xdr:blipFill>
      <xdr:spPr>
        <a:xfrm>
          <a:off x="3606801" y="5865185"/>
          <a:ext cx="2527300" cy="558610"/>
        </a:xfrm>
        <a:prstGeom prst="rect">
          <a:avLst/>
        </a:prstGeom>
      </xdr:spPr>
    </xdr:pic>
    <xdr:clientData/>
  </xdr:twoCellAnchor>
  <xdr:twoCellAnchor editAs="absolute">
    <xdr:from>
      <xdr:col>0</xdr:col>
      <xdr:colOff>0</xdr:colOff>
      <xdr:row>0</xdr:row>
      <xdr:rowOff>1028700</xdr:rowOff>
    </xdr:from>
    <xdr:to>
      <xdr:col>1</xdr:col>
      <xdr:colOff>0</xdr:colOff>
      <xdr:row>1</xdr:row>
      <xdr:rowOff>927100</xdr:rowOff>
    </xdr:to>
    <xdr:sp macro="" textlink="">
      <xdr:nvSpPr>
        <xdr:cNvPr id="6" name="TextBox 5">
          <a:extLst>
            <a:ext uri="{FF2B5EF4-FFF2-40B4-BE49-F238E27FC236}">
              <a16:creationId xmlns:a16="http://schemas.microsoft.com/office/drawing/2014/main" id="{62ECB908-DBF0-8A45-9C40-FC0AE74AE1B0}"/>
            </a:ext>
          </a:extLst>
        </xdr:cNvPr>
        <xdr:cNvSpPr txBox="1"/>
      </xdr:nvSpPr>
      <xdr:spPr>
        <a:xfrm>
          <a:off x="0" y="1028700"/>
          <a:ext cx="3822700" cy="1485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i="1">
              <a:solidFill>
                <a:srgbClr val="004077"/>
              </a:solidFill>
              <a:effectLst/>
              <a:latin typeface="+mn-lt"/>
              <a:ea typeface="+mn-ea"/>
              <a:cs typeface="+mn-cs"/>
            </a:rPr>
            <a:t>See goals for each learner group for each indicator (cells C4-AH14) and for the total population for each indicator (cells B4-B14) as a number based on the goal percentages you entered in the “Goals Entered by User” tab. </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1100" b="1" i="1">
            <a:solidFill>
              <a:srgbClr val="004077"/>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1">
              <a:solidFill>
                <a:srgbClr val="004077"/>
              </a:solidFill>
              <a:effectLst/>
              <a:latin typeface="+mn-lt"/>
              <a:ea typeface="+mn-ea"/>
              <a:cs typeface="+mn-cs"/>
            </a:rPr>
            <a:t>The current representation of each learner group in the community (row 3) is provided as a reference.</a:t>
          </a:r>
        </a:p>
        <a:p>
          <a:pPr algn="ctr"/>
          <a:endParaRPr lang="en-US" sz="1100" b="1" i="1">
            <a:solidFill>
              <a:srgbClr val="004077"/>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123482</xdr:colOff>
      <xdr:row>0</xdr:row>
      <xdr:rowOff>88900</xdr:rowOff>
    </xdr:from>
    <xdr:to>
      <xdr:col>4</xdr:col>
      <xdr:colOff>799850</xdr:colOff>
      <xdr:row>1</xdr:row>
      <xdr:rowOff>76200</xdr:rowOff>
    </xdr:to>
    <xdr:pic>
      <xdr:nvPicPr>
        <xdr:cNvPr id="2" name="Picture 1">
          <a:extLst>
            <a:ext uri="{FF2B5EF4-FFF2-40B4-BE49-F238E27FC236}">
              <a16:creationId xmlns:a16="http://schemas.microsoft.com/office/drawing/2014/main" id="{D6C6B1B2-53DB-0A4F-B564-9336A8971DD1}"/>
            </a:ext>
          </a:extLst>
        </xdr:cNvPr>
        <xdr:cNvPicPr>
          <a:picLocks noChangeAspect="1"/>
        </xdr:cNvPicPr>
      </xdr:nvPicPr>
      <xdr:blipFill>
        <a:blip xmlns:r="http://schemas.openxmlformats.org/officeDocument/2006/relationships" r:embed="rId1"/>
        <a:stretch>
          <a:fillRect/>
        </a:stretch>
      </xdr:blipFill>
      <xdr:spPr>
        <a:xfrm>
          <a:off x="3920782" y="88900"/>
          <a:ext cx="3965668" cy="1333500"/>
        </a:xfrm>
        <a:prstGeom prst="rect">
          <a:avLst/>
        </a:prstGeom>
      </xdr:spPr>
    </xdr:pic>
    <xdr:clientData/>
  </xdr:twoCellAnchor>
  <xdr:twoCellAnchor editAs="oneCell">
    <xdr:from>
      <xdr:col>3</xdr:col>
      <xdr:colOff>712271</xdr:colOff>
      <xdr:row>18</xdr:row>
      <xdr:rowOff>25401</xdr:rowOff>
    </xdr:from>
    <xdr:to>
      <xdr:col>7</xdr:col>
      <xdr:colOff>50800</xdr:colOff>
      <xdr:row>20</xdr:row>
      <xdr:rowOff>190795</xdr:rowOff>
    </xdr:to>
    <xdr:pic>
      <xdr:nvPicPr>
        <xdr:cNvPr id="3" name="Picture 2">
          <a:extLst>
            <a:ext uri="{FF2B5EF4-FFF2-40B4-BE49-F238E27FC236}">
              <a16:creationId xmlns:a16="http://schemas.microsoft.com/office/drawing/2014/main" id="{1978172E-E957-4B40-A271-6A61131B993C}"/>
            </a:ext>
          </a:extLst>
        </xdr:cNvPr>
        <xdr:cNvPicPr>
          <a:picLocks noChangeAspect="1"/>
        </xdr:cNvPicPr>
      </xdr:nvPicPr>
      <xdr:blipFill rotWithShape="1">
        <a:blip xmlns:r="http://schemas.openxmlformats.org/officeDocument/2006/relationships" r:embed="rId2"/>
        <a:srcRect l="3712" t="32933" b="32935"/>
        <a:stretch/>
      </xdr:blipFill>
      <xdr:spPr>
        <a:xfrm>
          <a:off x="6643171" y="5740401"/>
          <a:ext cx="3389829" cy="774994"/>
        </a:xfrm>
        <a:prstGeom prst="rect">
          <a:avLst/>
        </a:prstGeom>
      </xdr:spPr>
    </xdr:pic>
    <xdr:clientData/>
  </xdr:twoCellAnchor>
  <xdr:twoCellAnchor editAs="oneCell">
    <xdr:from>
      <xdr:col>1</xdr:col>
      <xdr:colOff>342900</xdr:colOff>
      <xdr:row>19</xdr:row>
      <xdr:rowOff>4841</xdr:rowOff>
    </xdr:from>
    <xdr:to>
      <xdr:col>3</xdr:col>
      <xdr:colOff>631012</xdr:colOff>
      <xdr:row>20</xdr:row>
      <xdr:rowOff>88901</xdr:rowOff>
    </xdr:to>
    <xdr:pic>
      <xdr:nvPicPr>
        <xdr:cNvPr id="4" name="Picture 3">
          <a:extLst>
            <a:ext uri="{FF2B5EF4-FFF2-40B4-BE49-F238E27FC236}">
              <a16:creationId xmlns:a16="http://schemas.microsoft.com/office/drawing/2014/main" id="{812577E6-66DE-3A4B-A5BB-583FE93DB06A}"/>
            </a:ext>
          </a:extLst>
        </xdr:cNvPr>
        <xdr:cNvPicPr>
          <a:picLocks noChangeAspect="1"/>
        </xdr:cNvPicPr>
      </xdr:nvPicPr>
      <xdr:blipFill>
        <a:blip xmlns:r="http://schemas.openxmlformats.org/officeDocument/2006/relationships" r:embed="rId3"/>
        <a:stretch>
          <a:fillRect/>
        </a:stretch>
      </xdr:blipFill>
      <xdr:spPr>
        <a:xfrm>
          <a:off x="4140200" y="5897641"/>
          <a:ext cx="2421712" cy="515860"/>
        </a:xfrm>
        <a:prstGeom prst="rect">
          <a:avLst/>
        </a:prstGeom>
      </xdr:spPr>
    </xdr:pic>
    <xdr:clientData/>
  </xdr:twoCellAnchor>
  <xdr:twoCellAnchor editAs="absolute">
    <xdr:from>
      <xdr:col>0</xdr:col>
      <xdr:colOff>0</xdr:colOff>
      <xdr:row>0</xdr:row>
      <xdr:rowOff>825500</xdr:rowOff>
    </xdr:from>
    <xdr:to>
      <xdr:col>0</xdr:col>
      <xdr:colOff>3759200</xdr:colOff>
      <xdr:row>2</xdr:row>
      <xdr:rowOff>698500</xdr:rowOff>
    </xdr:to>
    <xdr:sp macro="" textlink="">
      <xdr:nvSpPr>
        <xdr:cNvPr id="6" name="TextBox 5">
          <a:extLst>
            <a:ext uri="{FF2B5EF4-FFF2-40B4-BE49-F238E27FC236}">
              <a16:creationId xmlns:a16="http://schemas.microsoft.com/office/drawing/2014/main" id="{E2FB502B-384A-B74A-8FE5-1BAF30E5B891}"/>
            </a:ext>
          </a:extLst>
        </xdr:cNvPr>
        <xdr:cNvSpPr txBox="1">
          <a:spLocks noChangeAspect="1"/>
        </xdr:cNvSpPr>
      </xdr:nvSpPr>
      <xdr:spPr>
        <a:xfrm>
          <a:off x="0" y="825500"/>
          <a:ext cx="3759200" cy="1409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50" b="1" i="1">
              <a:solidFill>
                <a:srgbClr val="004077"/>
              </a:solidFill>
              <a:effectLst/>
              <a:latin typeface="+mn-lt"/>
              <a:ea typeface="+mn-ea"/>
              <a:cs typeface="+mn-cs"/>
            </a:rPr>
            <a:t>See how many more learners need to be engaged to meet goals for each learner group for each indicator (cells B4-AG14). If no additional learners are needed to meet the goal for that learner group for that indicator, the tool reports </a:t>
          </a:r>
          <a:r>
            <a:rPr lang="en-US" sz="1150" b="1" i="1">
              <a:solidFill>
                <a:srgbClr val="00B050"/>
              </a:solidFill>
              <a:effectLst/>
              <a:latin typeface="+mn-lt"/>
              <a:ea typeface="+mn-ea"/>
              <a:cs typeface="+mn-cs"/>
            </a:rPr>
            <a:t>“Goal Met.” </a:t>
          </a:r>
          <a:r>
            <a:rPr lang="en-US" sz="1150" b="1" i="1">
              <a:solidFill>
                <a:srgbClr val="004077"/>
              </a:solidFill>
              <a:effectLst/>
              <a:latin typeface="+mn-lt"/>
              <a:ea typeface="+mn-ea"/>
              <a:cs typeface="+mn-cs"/>
            </a:rPr>
            <a:t>If you omitted counts and/or goals for a learner group or an indicator, the tool shows empty cells.</a:t>
          </a:r>
        </a:p>
        <a:p>
          <a:pPr algn="ctr"/>
          <a:endParaRPr lang="en-US" sz="1100" b="1" i="1">
            <a:solidFill>
              <a:srgbClr val="004077"/>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67037</xdr:colOff>
      <xdr:row>0</xdr:row>
      <xdr:rowOff>71966</xdr:rowOff>
    </xdr:from>
    <xdr:to>
      <xdr:col>5</xdr:col>
      <xdr:colOff>351456</xdr:colOff>
      <xdr:row>1</xdr:row>
      <xdr:rowOff>101600</xdr:rowOff>
    </xdr:to>
    <xdr:pic>
      <xdr:nvPicPr>
        <xdr:cNvPr id="2" name="Picture 1">
          <a:extLst>
            <a:ext uri="{FF2B5EF4-FFF2-40B4-BE49-F238E27FC236}">
              <a16:creationId xmlns:a16="http://schemas.microsoft.com/office/drawing/2014/main" id="{66B1EE89-2D99-9C49-B014-25C46391F531}"/>
            </a:ext>
          </a:extLst>
        </xdr:cNvPr>
        <xdr:cNvPicPr>
          <a:picLocks noChangeAspect="1"/>
        </xdr:cNvPicPr>
      </xdr:nvPicPr>
      <xdr:blipFill>
        <a:blip xmlns:r="http://schemas.openxmlformats.org/officeDocument/2006/relationships" r:embed="rId1"/>
        <a:stretch>
          <a:fillRect/>
        </a:stretch>
      </xdr:blipFill>
      <xdr:spPr>
        <a:xfrm>
          <a:off x="3635737" y="71966"/>
          <a:ext cx="3611819" cy="1248834"/>
        </a:xfrm>
        <a:prstGeom prst="rect">
          <a:avLst/>
        </a:prstGeom>
      </xdr:spPr>
    </xdr:pic>
    <xdr:clientData/>
  </xdr:twoCellAnchor>
  <xdr:twoCellAnchor editAs="oneCell">
    <xdr:from>
      <xdr:col>4</xdr:col>
      <xdr:colOff>240960</xdr:colOff>
      <xdr:row>74</xdr:row>
      <xdr:rowOff>66321</xdr:rowOff>
    </xdr:from>
    <xdr:to>
      <xdr:col>8</xdr:col>
      <xdr:colOff>444500</xdr:colOff>
      <xdr:row>77</xdr:row>
      <xdr:rowOff>28</xdr:rowOff>
    </xdr:to>
    <xdr:pic>
      <xdr:nvPicPr>
        <xdr:cNvPr id="3" name="Picture 2">
          <a:extLst>
            <a:ext uri="{FF2B5EF4-FFF2-40B4-BE49-F238E27FC236}">
              <a16:creationId xmlns:a16="http://schemas.microsoft.com/office/drawing/2014/main" id="{6CB6856E-5B5A-A240-98C1-26D1426546A6}"/>
            </a:ext>
          </a:extLst>
        </xdr:cNvPr>
        <xdr:cNvPicPr>
          <a:picLocks noChangeAspect="1"/>
        </xdr:cNvPicPr>
      </xdr:nvPicPr>
      <xdr:blipFill rotWithShape="1">
        <a:blip xmlns:r="http://schemas.openxmlformats.org/officeDocument/2006/relationships" r:embed="rId2"/>
        <a:srcRect l="3712" t="32933" b="32935"/>
        <a:stretch/>
      </xdr:blipFill>
      <xdr:spPr>
        <a:xfrm>
          <a:off x="6336960" y="6124221"/>
          <a:ext cx="3581740" cy="848107"/>
        </a:xfrm>
        <a:prstGeom prst="rect">
          <a:avLst/>
        </a:prstGeom>
      </xdr:spPr>
    </xdr:pic>
    <xdr:clientData/>
  </xdr:twoCellAnchor>
  <xdr:twoCellAnchor editAs="oneCell">
    <xdr:from>
      <xdr:col>1</xdr:col>
      <xdr:colOff>282223</xdr:colOff>
      <xdr:row>74</xdr:row>
      <xdr:rowOff>216506</xdr:rowOff>
    </xdr:from>
    <xdr:to>
      <xdr:col>4</xdr:col>
      <xdr:colOff>215901</xdr:colOff>
      <xdr:row>76</xdr:row>
      <xdr:rowOff>100057</xdr:rowOff>
    </xdr:to>
    <xdr:pic>
      <xdr:nvPicPr>
        <xdr:cNvPr id="4" name="Picture 3">
          <a:extLst>
            <a:ext uri="{FF2B5EF4-FFF2-40B4-BE49-F238E27FC236}">
              <a16:creationId xmlns:a16="http://schemas.microsoft.com/office/drawing/2014/main" id="{5DD28623-5118-BB4C-B02B-F78FF9663B35}"/>
            </a:ext>
          </a:extLst>
        </xdr:cNvPr>
        <xdr:cNvPicPr>
          <a:picLocks noChangeAspect="1"/>
        </xdr:cNvPicPr>
      </xdr:nvPicPr>
      <xdr:blipFill>
        <a:blip xmlns:r="http://schemas.openxmlformats.org/officeDocument/2006/relationships" r:embed="rId3"/>
        <a:stretch>
          <a:fillRect/>
        </a:stretch>
      </xdr:blipFill>
      <xdr:spPr>
        <a:xfrm>
          <a:off x="3850923" y="6274406"/>
          <a:ext cx="2460978" cy="543951"/>
        </a:xfrm>
        <a:prstGeom prst="rect">
          <a:avLst/>
        </a:prstGeom>
      </xdr:spPr>
    </xdr:pic>
    <xdr:clientData/>
  </xdr:twoCellAnchor>
  <xdr:twoCellAnchor editAs="absolute">
    <xdr:from>
      <xdr:col>0</xdr:col>
      <xdr:colOff>0</xdr:colOff>
      <xdr:row>0</xdr:row>
      <xdr:rowOff>850900</xdr:rowOff>
    </xdr:from>
    <xdr:to>
      <xdr:col>0</xdr:col>
      <xdr:colOff>3517900</xdr:colOff>
      <xdr:row>59</xdr:row>
      <xdr:rowOff>1041400</xdr:rowOff>
    </xdr:to>
    <xdr:sp macro="" textlink="">
      <xdr:nvSpPr>
        <xdr:cNvPr id="6" name="TextBox 5">
          <a:extLst>
            <a:ext uri="{FF2B5EF4-FFF2-40B4-BE49-F238E27FC236}">
              <a16:creationId xmlns:a16="http://schemas.microsoft.com/office/drawing/2014/main" id="{8B3A804B-CB0B-7943-AF81-CC17CC050E58}"/>
            </a:ext>
          </a:extLst>
        </xdr:cNvPr>
        <xdr:cNvSpPr txBox="1"/>
      </xdr:nvSpPr>
      <xdr:spPr>
        <a:xfrm>
          <a:off x="0" y="850900"/>
          <a:ext cx="3517900" cy="1600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50" b="1" i="1">
              <a:solidFill>
                <a:srgbClr val="004077"/>
              </a:solidFill>
              <a:effectLst/>
              <a:latin typeface="+mn-lt"/>
              <a:ea typeface="+mn-ea"/>
              <a:cs typeface="+mn-cs"/>
            </a:rPr>
            <a:t>See how many more learners need to be engaged to reach goals for each learner group for each indicator as a percentage (cells B61-AG71). If no additional learners are needed to meet the goal for that learner group for that indicator, the tool reports </a:t>
          </a:r>
          <a:r>
            <a:rPr lang="en-US" sz="1150" b="1" i="1">
              <a:solidFill>
                <a:srgbClr val="00B050"/>
              </a:solidFill>
              <a:effectLst/>
              <a:latin typeface="+mn-lt"/>
              <a:ea typeface="+mn-ea"/>
              <a:cs typeface="+mn-cs"/>
            </a:rPr>
            <a:t>“Goal Met.” </a:t>
          </a:r>
          <a:r>
            <a:rPr lang="en-US" sz="1150" b="1" i="1">
              <a:solidFill>
                <a:srgbClr val="004077"/>
              </a:solidFill>
              <a:effectLst/>
              <a:latin typeface="+mn-lt"/>
              <a:ea typeface="+mn-ea"/>
              <a:cs typeface="+mn-cs"/>
            </a:rPr>
            <a:t>If you omitted counts and/or goals for a learner group or an indicator, the tool shows empty cells.</a:t>
          </a:r>
        </a:p>
        <a:p>
          <a:pPr algn="ctr"/>
          <a:endParaRPr lang="en-US" sz="1200" b="1" i="1">
            <a:solidFill>
              <a:srgbClr val="004077"/>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702130</xdr:colOff>
      <xdr:row>0</xdr:row>
      <xdr:rowOff>32657</xdr:rowOff>
    </xdr:from>
    <xdr:to>
      <xdr:col>14</xdr:col>
      <xdr:colOff>108858</xdr:colOff>
      <xdr:row>2</xdr:row>
      <xdr:rowOff>411037</xdr:rowOff>
    </xdr:to>
    <xdr:pic>
      <xdr:nvPicPr>
        <xdr:cNvPr id="2" name="Picture 1">
          <a:extLst>
            <a:ext uri="{FF2B5EF4-FFF2-40B4-BE49-F238E27FC236}">
              <a16:creationId xmlns:a16="http://schemas.microsoft.com/office/drawing/2014/main" id="{B3336BF9-E912-334C-80D1-FD0636F5BD9D}"/>
            </a:ext>
          </a:extLst>
        </xdr:cNvPr>
        <xdr:cNvPicPr>
          <a:picLocks noChangeAspect="1"/>
        </xdr:cNvPicPr>
      </xdr:nvPicPr>
      <xdr:blipFill>
        <a:blip xmlns:r="http://schemas.openxmlformats.org/officeDocument/2006/relationships" r:embed="rId1"/>
        <a:stretch>
          <a:fillRect/>
        </a:stretch>
      </xdr:blipFill>
      <xdr:spPr>
        <a:xfrm>
          <a:off x="12059559" y="32657"/>
          <a:ext cx="3035298" cy="995237"/>
        </a:xfrm>
        <a:prstGeom prst="rect">
          <a:avLst/>
        </a:prstGeom>
      </xdr:spPr>
    </xdr:pic>
    <xdr:clientData/>
  </xdr:twoCellAnchor>
  <xdr:twoCellAnchor editAs="oneCell">
    <xdr:from>
      <xdr:col>9</xdr:col>
      <xdr:colOff>1064986</xdr:colOff>
      <xdr:row>37</xdr:row>
      <xdr:rowOff>38100</xdr:rowOff>
    </xdr:from>
    <xdr:to>
      <xdr:col>13</xdr:col>
      <xdr:colOff>177800</xdr:colOff>
      <xdr:row>41</xdr:row>
      <xdr:rowOff>97165</xdr:rowOff>
    </xdr:to>
    <xdr:pic>
      <xdr:nvPicPr>
        <xdr:cNvPr id="3" name="Picture 2">
          <a:extLst>
            <a:ext uri="{FF2B5EF4-FFF2-40B4-BE49-F238E27FC236}">
              <a16:creationId xmlns:a16="http://schemas.microsoft.com/office/drawing/2014/main" id="{68F1642E-6C8E-0341-BFA1-60839255C8CB}"/>
            </a:ext>
          </a:extLst>
        </xdr:cNvPr>
        <xdr:cNvPicPr>
          <a:picLocks noChangeAspect="1"/>
        </xdr:cNvPicPr>
      </xdr:nvPicPr>
      <xdr:blipFill rotWithShape="1">
        <a:blip xmlns:r="http://schemas.openxmlformats.org/officeDocument/2006/relationships" r:embed="rId2"/>
        <a:srcRect l="3712" t="32933" b="32935"/>
        <a:stretch/>
      </xdr:blipFill>
      <xdr:spPr>
        <a:xfrm>
          <a:off x="9904186" y="11036300"/>
          <a:ext cx="3430814" cy="770265"/>
        </a:xfrm>
        <a:prstGeom prst="rect">
          <a:avLst/>
        </a:prstGeom>
      </xdr:spPr>
    </xdr:pic>
    <xdr:clientData/>
  </xdr:twoCellAnchor>
  <xdr:twoCellAnchor editAs="oneCell">
    <xdr:from>
      <xdr:col>7</xdr:col>
      <xdr:colOff>177801</xdr:colOff>
      <xdr:row>37</xdr:row>
      <xdr:rowOff>131840</xdr:rowOff>
    </xdr:from>
    <xdr:to>
      <xdr:col>9</xdr:col>
      <xdr:colOff>698501</xdr:colOff>
      <xdr:row>40</xdr:row>
      <xdr:rowOff>146213</xdr:rowOff>
    </xdr:to>
    <xdr:pic>
      <xdr:nvPicPr>
        <xdr:cNvPr id="4" name="Picture 3">
          <a:extLst>
            <a:ext uri="{FF2B5EF4-FFF2-40B4-BE49-F238E27FC236}">
              <a16:creationId xmlns:a16="http://schemas.microsoft.com/office/drawing/2014/main" id="{A3AC3CD3-2087-444D-BE05-1BCD859E578C}"/>
            </a:ext>
          </a:extLst>
        </xdr:cNvPr>
        <xdr:cNvPicPr>
          <a:picLocks noChangeAspect="1"/>
        </xdr:cNvPicPr>
      </xdr:nvPicPr>
      <xdr:blipFill>
        <a:blip xmlns:r="http://schemas.openxmlformats.org/officeDocument/2006/relationships" r:embed="rId3"/>
        <a:stretch>
          <a:fillRect/>
        </a:stretch>
      </xdr:blipFill>
      <xdr:spPr>
        <a:xfrm>
          <a:off x="6985001" y="11130040"/>
          <a:ext cx="2641600" cy="54777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6C514CC-9128-4D88-94FF-04AEC05D0888}" name="Count_Tbl" displayName="Count_Tbl" ref="A2:AH14" totalsRowShown="0" headerRowDxfId="307" dataDxfId="306" tableBorderDxfId="305">
  <tableColumns count="34">
    <tableColumn id="1" xr3:uid="{35C25808-4315-494B-9F53-8BBCDFE7902C}" name="Column1" dataDxfId="304"/>
    <tableColumn id="2" xr3:uid="{95CADE1B-DD52-4C7F-9A0B-B8FD47B1BFA6}" name="Total Population for Each Indicator" dataDxfId="303"/>
    <tableColumn id="3" xr3:uid="{48784375-1A75-495E-A3F0-2F6B05215D2E}" name="Male" dataDxfId="302"/>
    <tableColumn id="4" xr3:uid="{1B4EE70E-7DDE-42D2-9EA2-264159626E65}" name="Female" dataDxfId="301"/>
    <tableColumn id="5" xr3:uid="{22B4332F-3FD4-4F6B-A2E4-00F7DD73770B}" name="Asian or Pacific Islander" dataDxfId="300"/>
    <tableColumn id="6" xr3:uid="{22B7D777-EC02-42B2-B5B7-E51112749200}" name="Asian or Pacific Islander Male" dataDxfId="299"/>
    <tableColumn id="7" xr3:uid="{67FF9D5F-7C46-4292-B922-111182D40F4E}" name="Asian or Pacific Islander Female" dataDxfId="298"/>
    <tableColumn id="8" xr3:uid="{994E4EFB-9F99-46EB-910A-CE94B728353E}" name="Black Non-Latinx" dataDxfId="297"/>
    <tableColumn id="9" xr3:uid="{B5D910D7-7A07-4FEA-B136-35072B495B14}" name="Black Non-Latinx Male" dataDxfId="296"/>
    <tableColumn id="10" xr3:uid="{7C7A051A-E455-41B9-B5D1-2ACA689DA0FF}" name="Black Non-Latinx Female" dataDxfId="295"/>
    <tableColumn id="11" xr3:uid="{D1AAF005-F032-4E51-8006-369010FC14B5}" name="Latinx" dataDxfId="294"/>
    <tableColumn id="12" xr3:uid="{FA872DE3-7A1D-4CC5-B050-8A676E84FCA4}" name="Latinx Male" dataDxfId="293"/>
    <tableColumn id="13" xr3:uid="{8E1D464B-2FE3-47DA-8E40-5E3A1726F56A}" name="Latinx Female" dataDxfId="292"/>
    <tableColumn id="14" xr3:uid="{C3A939A0-193B-4023-8A72-744D7F5543C3}" name="Multiracial" dataDxfId="291"/>
    <tableColumn id="15" xr3:uid="{E430AAAD-1FAC-417F-A5B4-575ECB880C2F}" name="Multiracial Male" dataDxfId="290"/>
    <tableColumn id="16" xr3:uid="{D6877B85-7C88-4AA3-86AA-EB0EB5022B53}" name="Multiracial Female" dataDxfId="289"/>
    <tableColumn id="17" xr3:uid="{8F57560E-21B2-46CB-ABA9-D4E5E2BD9DB0}" name="Native American or Alaska Native" dataDxfId="288"/>
    <tableColumn id="18" xr3:uid="{0F0B2A7C-408F-4725-A715-1D23D61D6E10}" name="Native American or Alaska Native Male" dataDxfId="287"/>
    <tableColumn id="19" xr3:uid="{8169FDF5-EA30-41A6-BE14-6FB3FDB4EA18}" name="Native American or Alaska Native Female" dataDxfId="286"/>
    <tableColumn id="20" xr3:uid="{57F39A8F-FEB5-4ACF-ABBC-DC42DC4FC2B9}" name="White Non-Latinx" dataDxfId="285"/>
    <tableColumn id="21" xr3:uid="{547C274C-745F-488D-9008-C4B9D8729426}" name="White Non-Latinx Male" dataDxfId="284"/>
    <tableColumn id="22" xr3:uid="{0D66A758-05F0-4002-8A0E-1B685147BF8A}" name="White Non-Latinx Female" dataDxfId="283"/>
    <tableColumn id="23" xr3:uid="{58342EDB-8251-4EF8-A96F-B4F12F076758}" name="Learners with Disabilities" dataDxfId="282"/>
    <tableColumn id="24" xr3:uid="{FDFC8905-B637-4062-9F38-78D237BB6E35}" name="Learners with Disabilities Male" dataDxfId="281"/>
    <tableColumn id="25" xr3:uid="{5865C3B8-8713-4E62-81DA-8974BD501795}" name="Learners with Disabilities Female" dataDxfId="280"/>
    <tableColumn id="26" xr3:uid="{830A1295-C95D-44BB-A68C-8E25B6461C3B}" name="Economically Disadvantaged" dataDxfId="279"/>
    <tableColumn id="27" xr3:uid="{3B4D2FE4-F184-451E-A9CC-760C1056E30E}" name="Economically Disadvantaged Male" dataDxfId="278"/>
    <tableColumn id="28" xr3:uid="{B337CB12-B1F3-4F22-9F66-DA03BD701698}" name="Economically Disadvantaged Female" dataDxfId="277"/>
    <tableColumn id="29" xr3:uid="{05457CCA-B2BF-4314-8D5D-D3622873FBB8}" name="English Learner" dataDxfId="276"/>
    <tableColumn id="30" xr3:uid="{FF17D254-5FD6-47EE-B8A8-EF343EFE90A1}" name="English Learner Male" dataDxfId="275"/>
    <tableColumn id="31" xr3:uid="{7759A6C5-C55C-4964-B53C-67CF981CE4F2}" name="English Learner Female" dataDxfId="274"/>
    <tableColumn id="32" xr3:uid="{91048886-24F3-4DD4-B252-C08648A851CC}" name="Migrant" dataDxfId="273"/>
    <tableColumn id="33" xr3:uid="{099FAD42-DB7D-482F-8AD1-223470EC05F3}" name="Migrant Male" dataDxfId="272"/>
    <tableColumn id="34" xr3:uid="{94C74003-3ECD-4B19-A03F-4D022D566B1B}" name="Migrant Female" dataDxfId="27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6DF22AE-6E7B-4076-9610-761F18D6BA6F}" name="Pct_Tbl" displayName="Pct_Tbl" ref="A2:AH14" totalsRowShown="0" headerRowDxfId="270" dataDxfId="269" tableBorderDxfId="268">
  <tableColumns count="34">
    <tableColumn id="1" xr3:uid="{63A962CE-3E0F-4A4C-AF36-77EF2E3D2E30}" name="Column1" dataDxfId="267">
      <calculatedColumnFormula>Count_Tbl[[#This Row],[Column1]]</calculatedColumnFormula>
    </tableColumn>
    <tableColumn id="2" xr3:uid="{1311ACF0-63EC-4BAB-8DB5-00B3252197B8}" name="Total Population for Each Indicator" dataDxfId="266">
      <calculatedColumnFormula>IFERROR('Counts Entered by User'!B3/'Counts Entered by User'!$B$3," ")</calculatedColumnFormula>
    </tableColumn>
    <tableColumn id="3" xr3:uid="{C0444525-BFEE-4008-AB58-7A23E85DC5A2}" name="Male" dataDxfId="265">
      <calculatedColumnFormula>IFERROR('Counts Entered by User'!C3/'Counts Entered by User'!$B$3," ")</calculatedColumnFormula>
    </tableColumn>
    <tableColumn id="4" xr3:uid="{ADBCA79E-A48E-4C60-862A-B07066603EC0}" name="Female" dataDxfId="264">
      <calculatedColumnFormula>IFERROR('Counts Entered by User'!D3/'Counts Entered by User'!$D$3," ")</calculatedColumnFormula>
    </tableColumn>
    <tableColumn id="5" xr3:uid="{451A2DF9-E198-4D6D-BC63-1224D4EE67DF}" name="Asian or Pacific Islander" dataDxfId="263">
      <calculatedColumnFormula>IFERROR('Counts Entered by User'!E3/'Counts Entered by User'!$E$3," ")</calculatedColumnFormula>
    </tableColumn>
    <tableColumn id="6" xr3:uid="{BEE34ABA-819E-447C-A069-F1B36584463D}" name="Asian or Pacific Islander Male" dataDxfId="262">
      <calculatedColumnFormula>IFERROR('Counts Entered by User'!F3/'Counts Entered by User'!$F$3," ")</calculatedColumnFormula>
    </tableColumn>
    <tableColumn id="7" xr3:uid="{A0FEB729-C450-4D8A-8B4E-9966E3C39DE6}" name="Asian or Pacific Islander Female" dataDxfId="261">
      <calculatedColumnFormula>IFERROR('Counts Entered by User'!G3/'Counts Entered by User'!$G$3," ")</calculatedColumnFormula>
    </tableColumn>
    <tableColumn id="8" xr3:uid="{8B457469-5664-42E9-AA98-583639DAFFC9}" name="Black Non-Latinx" dataDxfId="260">
      <calculatedColumnFormula>IFERROR('Counts Entered by User'!H3/'Counts Entered by User'!$H$3," ")</calculatedColumnFormula>
    </tableColumn>
    <tableColumn id="9" xr3:uid="{6A1F04A2-D1A0-41E8-9201-99B4DB7992A1}" name="Black Non-Latinx Male" dataDxfId="259">
      <calculatedColumnFormula>IFERROR('Counts Entered by User'!I3/'Counts Entered by User'!$I$3," ")</calculatedColumnFormula>
    </tableColumn>
    <tableColumn id="10" xr3:uid="{FD061DDD-4360-4B9B-AB37-95BA96A597A6}" name="Black Non-Latinx Female" dataDxfId="258">
      <calculatedColumnFormula>IFERROR('Counts Entered by User'!J3/'Counts Entered by User'!$J$3," ")</calculatedColumnFormula>
    </tableColumn>
    <tableColumn id="11" xr3:uid="{B428B149-9FCC-41E1-85A5-00715D16EA99}" name="Latinx" dataDxfId="257">
      <calculatedColumnFormula>IFERROR('Counts Entered by User'!K3/'Counts Entered by User'!$K$3," ")</calculatedColumnFormula>
    </tableColumn>
    <tableColumn id="12" xr3:uid="{2E6A679D-724B-496D-AA7A-1DC9665862BD}" name="Latinx Male" dataDxfId="256">
      <calculatedColumnFormula>IFERROR('Counts Entered by User'!L3/'Counts Entered by User'!$L$3," ")</calculatedColumnFormula>
    </tableColumn>
    <tableColumn id="13" xr3:uid="{F5ED8BC1-04ED-4EE7-9FBB-B8E45729BE56}" name="Latinx Female" dataDxfId="255">
      <calculatedColumnFormula>IFERROR('Counts Entered by User'!M3/'Counts Entered by User'!$M$3," ")</calculatedColumnFormula>
    </tableColumn>
    <tableColumn id="14" xr3:uid="{25628A91-A026-4064-8C32-C139AF69FD36}" name="Multiracial" dataDxfId="254">
      <calculatedColumnFormula>IFERROR('Counts Entered by User'!N3/'Counts Entered by User'!$N$3," ")</calculatedColumnFormula>
    </tableColumn>
    <tableColumn id="15" xr3:uid="{9DF02C42-72DB-4C5E-A2A9-130820676B6D}" name="Multiracial Male" dataDxfId="253">
      <calculatedColumnFormula>IFERROR('Counts Entered by User'!O3/'Counts Entered by User'!$O$3," ")</calculatedColumnFormula>
    </tableColumn>
    <tableColumn id="16" xr3:uid="{4C5A5B9D-AF80-4DB5-A2B4-D10492019B89}" name="Multiracial Female" dataDxfId="252">
      <calculatedColumnFormula>IFERROR('Counts Entered by User'!P3/'Counts Entered by User'!$P$3," ")</calculatedColumnFormula>
    </tableColumn>
    <tableColumn id="17" xr3:uid="{0E5BAA89-54E0-44FE-A47F-D6D014F33FEB}" name="Native American or Alaska Native" dataDxfId="251">
      <calculatedColumnFormula>IFERROR('Counts Entered by User'!Q3/'Counts Entered by User'!$Q$3," ")</calculatedColumnFormula>
    </tableColumn>
    <tableColumn id="18" xr3:uid="{A4E1BD62-051B-4DF1-9FE8-9FE2CC2B73D9}" name="Native American or Alaska Native Male" dataDxfId="250">
      <calculatedColumnFormula>IFERROR('Counts Entered by User'!R3/'Counts Entered by User'!$R$3," ")</calculatedColumnFormula>
    </tableColumn>
    <tableColumn id="19" xr3:uid="{6C87D002-9B1C-4055-955E-3402C80A85FE}" name="Native American or Alaska Native Female" dataDxfId="249">
      <calculatedColumnFormula>IFERROR('Counts Entered by User'!S3/'Counts Entered by User'!$S$3," ")</calculatedColumnFormula>
    </tableColumn>
    <tableColumn id="20" xr3:uid="{E5116C50-A6BB-42C3-B49C-85D7ECE067C5}" name="White Non-Latinx" dataDxfId="248">
      <calculatedColumnFormula>IFERROR('Counts Entered by User'!T3/'Counts Entered by User'!$T$3, " ")</calculatedColumnFormula>
    </tableColumn>
    <tableColumn id="21" xr3:uid="{51352AA8-09C9-4BC5-9D5D-7FF4596EE8AF}" name="White Non-Latinx Male" dataDxfId="247">
      <calculatedColumnFormula>IFERROR('Counts Entered by User'!U3/'Counts Entered by User'!$U$3, " ")</calculatedColumnFormula>
    </tableColumn>
    <tableColumn id="22" xr3:uid="{BE59861B-98C8-4AF9-90B9-873566000362}" name="White Non-Latinx Female" dataDxfId="246">
      <calculatedColumnFormula>IFERROR('Counts Entered by User'!V3/'Counts Entered by User'!$V$3, " ")</calculatedColumnFormula>
    </tableColumn>
    <tableColumn id="23" xr3:uid="{265E5E7D-4656-40A7-8345-75E329C199DC}" name="Learners with Disabilities" dataDxfId="245">
      <calculatedColumnFormula>IFERROR('Counts Entered by User'!W3/'Counts Entered by User'!$W$3," ")</calculatedColumnFormula>
    </tableColumn>
    <tableColumn id="24" xr3:uid="{91D82242-1C25-45AB-B779-54B59F6B4A5B}" name="Learners with Disabilities Male" dataDxfId="244">
      <calculatedColumnFormula>IFERROR('Counts Entered by User'!X3/'Counts Entered by User'!$X$3," ")</calculatedColumnFormula>
    </tableColumn>
    <tableColumn id="25" xr3:uid="{E1BCCED9-2968-4E5D-AFBC-821CD6DC551E}" name="Learners with Disabilities Female" dataDxfId="243">
      <calculatedColumnFormula>IFERROR('Counts Entered by User'!Y3/'Counts Entered by User'!$Y$3," ")</calculatedColumnFormula>
    </tableColumn>
    <tableColumn id="26" xr3:uid="{5D7402D3-830D-45CA-8453-AF785BEE7F34}" name="Economically Disadvantaged" dataDxfId="242">
      <calculatedColumnFormula>IFERROR('Counts Entered by User'!Z3/'Counts Entered by User'!$Z$3," ")</calculatedColumnFormula>
    </tableColumn>
    <tableColumn id="27" xr3:uid="{977429C0-F298-45CA-A86B-4FBDE8AC2816}" name="Economically Disadvantaged Male" dataDxfId="241">
      <calculatedColumnFormula>IFERROR('Counts Entered by User'!AA3/'Counts Entered by User'!$AA$3," ")</calculatedColumnFormula>
    </tableColumn>
    <tableColumn id="28" xr3:uid="{2FCC2DFF-5662-47E9-B712-991D13B59C0D}" name="Economically Disadvantaged Female" dataDxfId="240">
      <calculatedColumnFormula>IFERROR('Counts Entered by User'!AB3/'Counts Entered by User'!$AB$3," ")</calculatedColumnFormula>
    </tableColumn>
    <tableColumn id="29" xr3:uid="{DCB70D16-DE07-4DDA-8BE4-D7FCFA7B81AA}" name="English Learner" dataDxfId="239">
      <calculatedColumnFormula>IFERROR('Counts Entered by User'!AC3/'Counts Entered by User'!$AC$3," ")</calculatedColumnFormula>
    </tableColumn>
    <tableColumn id="30" xr3:uid="{14BFA774-D8EE-4744-B8AD-C672AB51D958}" name="English Learner Male" dataDxfId="238">
      <calculatedColumnFormula>IFERROR('Counts Entered by User'!AD3/'Counts Entered by User'!$AD$3," ")</calculatedColumnFormula>
    </tableColumn>
    <tableColumn id="31" xr3:uid="{78793249-39F5-4F6E-947B-B4D84705A0FA}" name="English Learner Female" dataDxfId="237">
      <calculatedColumnFormula>IFERROR('Counts Entered by User'!AE3/'Counts Entered by User'!$AE$3," ")</calculatedColumnFormula>
    </tableColumn>
    <tableColumn id="32" xr3:uid="{0591DB33-724F-4639-B969-5047829F9670}" name="Migrant" dataDxfId="236">
      <calculatedColumnFormula>IFERROR('Counts Entered by User'!AF3/'Counts Entered by User'!$AF$3," ")</calculatedColumnFormula>
    </tableColumn>
    <tableColumn id="33" xr3:uid="{11543CD0-02E6-445D-A370-44EC714D824D}" name="Migrant Male" dataDxfId="235">
      <calculatedColumnFormula>IFERROR('Counts Entered by User'!AG3/'Counts Entered by User'!$AG$3," ")</calculatedColumnFormula>
    </tableColumn>
    <tableColumn id="34" xr3:uid="{8969C2AD-0251-4C55-9BDF-6CC531D8A9C4}" name="Migrant Female" dataDxfId="234">
      <calculatedColumnFormula>IFERROR('Counts Entered by User'!AH3/'Counts Entered by User'!$AH$3," ")</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F1150B-2C4A-4027-B212-B1C6970B8F31}" name="GoalAsPct_Tbl" displayName="GoalAsPct_Tbl" ref="A2:AH14" totalsRowShown="0" headerRowDxfId="233" dataDxfId="232">
  <tableColumns count="34">
    <tableColumn id="1" xr3:uid="{C2C98D03-AF56-4A2C-BB5A-0F40974E821C}" name="Column1" dataDxfId="231"/>
    <tableColumn id="2" xr3:uid="{1A542B54-6F3F-444C-98B2-1F46B9EFEC09}" name="Total Population for Each Indicator" dataDxfId="230"/>
    <tableColumn id="3" xr3:uid="{EAE389B7-8F87-4DBC-AA91-C429E8D4A23D}" name="Male" dataDxfId="229"/>
    <tableColumn id="4" xr3:uid="{A7090F26-FB54-47CE-9BD3-872F86E703EB}" name="Female" dataDxfId="228"/>
    <tableColumn id="5" xr3:uid="{021AE239-C966-4D2A-B769-1D768E43B2E9}" name="Asian or Pacific Islander" dataDxfId="227"/>
    <tableColumn id="6" xr3:uid="{F0C86658-7083-4AAF-B473-0B97A8D18960}" name="Asian or Pacific Islander Male" dataDxfId="226"/>
    <tableColumn id="7" xr3:uid="{B13A835E-84DD-46AA-98A3-8AF311F44561}" name="Asian or Pacific Islander Female" dataDxfId="225"/>
    <tableColumn id="8" xr3:uid="{ADB0C30C-2C0E-46B9-98B1-BB90AA29F366}" name="Black Non-Latinx" dataDxfId="224"/>
    <tableColumn id="9" xr3:uid="{1CB70216-DF91-4217-B627-0485499E9BC6}" name="Black Non-Latinx Male" dataDxfId="223"/>
    <tableColumn id="10" xr3:uid="{2E22CB1B-1C73-4734-9757-A08A7C79C31F}" name="Black Non-Latinx Female" dataDxfId="222"/>
    <tableColumn id="11" xr3:uid="{4F70A428-7995-4D5D-A9DD-3922CC574A00}" name="Latinx" dataDxfId="221"/>
    <tableColumn id="12" xr3:uid="{19BED891-AE63-496D-8AAE-CDE5FB14C8BF}" name="Latinx Male" dataDxfId="220"/>
    <tableColumn id="13" xr3:uid="{7A0CD112-FB5A-4AFF-9C11-60732D2B1BE6}" name="Latinx Female" dataDxfId="219"/>
    <tableColumn id="14" xr3:uid="{DD258E01-5E97-4E14-9566-939032319EAE}" name="Multiracial" dataDxfId="218"/>
    <tableColumn id="15" xr3:uid="{1286FCC6-6303-4D42-B30D-D4F1C9361840}" name="Multiracial Male" dataDxfId="217"/>
    <tableColumn id="16" xr3:uid="{B760A197-0DEC-484A-BBBF-33EA4971FE05}" name="Multiracial Female" dataDxfId="216"/>
    <tableColumn id="17" xr3:uid="{4E9118D9-02DD-4CB3-8612-3BF2FB7124D4}" name="Native American or Alaska Native" dataDxfId="215"/>
    <tableColumn id="18" xr3:uid="{43FFB1F8-8CAC-4932-ACC3-3E4BFCD6711B}" name="Native American or Alaska Native Male" dataDxfId="214"/>
    <tableColumn id="19" xr3:uid="{374EF8E5-95AD-4A6B-A936-6FECE17C3C32}" name="Native American or Alaska Native Female" dataDxfId="213"/>
    <tableColumn id="20" xr3:uid="{4250A8A4-F916-4B2E-8BCA-6C03EE2430E8}" name="White Non-Latinx" dataDxfId="212"/>
    <tableColumn id="21" xr3:uid="{E51D8FE1-D01E-4FA4-8433-7C441447B9C8}" name="White Non-Latinx Male" dataDxfId="211"/>
    <tableColumn id="22" xr3:uid="{57EA1562-F1E9-4474-9F13-5E835B27EAF3}" name="White Non-Latinx Female" dataDxfId="210"/>
    <tableColumn id="23" xr3:uid="{EA1842CC-EE96-436C-A819-8C4E91D70A9B}" name="Learners with Disabilities" dataDxfId="209"/>
    <tableColumn id="24" xr3:uid="{FF9B2C1F-F79E-4B0B-9ABC-F538219AED64}" name="Learners with Disabilities Male" dataDxfId="208"/>
    <tableColumn id="25" xr3:uid="{FE928455-AD50-4339-AE25-47E53954CF96}" name="Learners with Disabilities Female" dataDxfId="207"/>
    <tableColumn id="26" xr3:uid="{A2D1619B-D6C7-424D-909B-826FB6256B48}" name="Economically Disadvantaged" dataDxfId="206"/>
    <tableColumn id="27" xr3:uid="{5C0B96F1-5906-4497-8B39-B3B5F420A160}" name="Economically Disadvantaged Male" dataDxfId="205"/>
    <tableColumn id="28" xr3:uid="{0C16FCAA-D7FE-4878-9CC2-80559AE5D064}" name="Economically Disadvantaged Female" dataDxfId="204"/>
    <tableColumn id="29" xr3:uid="{1D09DBA8-06A4-4D90-86A3-429C1761C1D9}" name="English Learner" dataDxfId="203"/>
    <tableColumn id="30" xr3:uid="{8ABA9478-3B4D-403B-AC7B-827011E8B236}" name="English Learner Male" dataDxfId="202"/>
    <tableColumn id="31" xr3:uid="{AFFDF3A1-6EEC-457D-8F53-D4DFAB6F32F5}" name="English Learner Female" dataDxfId="201"/>
    <tableColumn id="32" xr3:uid="{AC7C0376-BA7E-4C57-91D8-4E94B05449D4}" name="Migrant" dataDxfId="200"/>
    <tableColumn id="33" xr3:uid="{C8D97184-94A9-406E-B1A1-48DCB260C359}" name="Migrant Male" dataDxfId="199"/>
    <tableColumn id="34" xr3:uid="{FDDC0E60-4777-454A-99DC-BFA2F444B9DE}" name="Migrant Female" dataDxfId="19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2AE7288-1F19-401C-B94D-8E33075D6AD2}" name="Pct_Tbl10" displayName="Pct_Tbl10" ref="A19:AH30" totalsRowShown="0" headerRowDxfId="197" dataDxfId="196" tableBorderDxfId="195">
  <tableColumns count="34">
    <tableColumn id="1" xr3:uid="{16F54A73-1E4A-4197-92CC-A0CD4FC82FA2}" name="Shown here for reference (cells B20-AH30). This is the current count of learners for each indicator expressed as a percentage._x000a__x000a_The heatmap will show you where representation is higher (green) and lower (red)." dataDxfId="194">
      <calculatedColumnFormula>A3</calculatedColumnFormula>
    </tableColumn>
    <tableColumn id="2" xr3:uid="{C0D6B31D-7410-4EAB-AE6E-C2D3FE2CE18F}" name="Total Population for Each Indicator" dataDxfId="193">
      <calculatedColumnFormula>'Current Representation'!B4</calculatedColumnFormula>
    </tableColumn>
    <tableColumn id="3" xr3:uid="{9384936D-AC70-473D-BE0D-0E4B6C766970}" name="Male" dataDxfId="192">
      <calculatedColumnFormula>IFERROR('Counts Entered by User'!C19/'Counts Entered by User'!$B$3," ")</calculatedColumnFormula>
    </tableColumn>
    <tableColumn id="4" xr3:uid="{825CA751-2E03-496F-B0AA-8AC27B604D37}" name="Female" dataDxfId="191">
      <calculatedColumnFormula>IFERROR('Counts Entered by User'!D19/'Counts Entered by User'!$D$3," ")</calculatedColumnFormula>
    </tableColumn>
    <tableColumn id="5" xr3:uid="{CA7651EA-4DC7-4EFE-B154-9A423EB6CA35}" name="Asian or Pacific Islander" dataDxfId="190">
      <calculatedColumnFormula>IFERROR('Counts Entered by User'!E19/'Counts Entered by User'!$E$3," ")</calculatedColumnFormula>
    </tableColumn>
    <tableColumn id="6" xr3:uid="{E90B7F2C-5472-49B1-B29C-CC148073DA61}" name="Asian or Pacific Islander Male" dataDxfId="189">
      <calculatedColumnFormula>IFERROR('Counts Entered by User'!F19/'Counts Entered by User'!$F$3," ")</calculatedColumnFormula>
    </tableColumn>
    <tableColumn id="7" xr3:uid="{04D5B38A-1F81-46C5-8647-BF0401FBE794}" name="Asian or Pacific Islander Female" dataDxfId="188">
      <calculatedColumnFormula>IFERROR('Counts Entered by User'!G19/'Counts Entered by User'!$G$3," ")</calculatedColumnFormula>
    </tableColumn>
    <tableColumn id="8" xr3:uid="{88BB8478-B0B1-458C-896E-BBDBB6F5796A}" name="Black Non-Latinx" dataDxfId="187">
      <calculatedColumnFormula>IFERROR('Counts Entered by User'!H19/'Counts Entered by User'!$H$3," ")</calculatedColumnFormula>
    </tableColumn>
    <tableColumn id="9" xr3:uid="{E56A60D3-C2EB-4212-930E-8639B7C13B68}" name="Black Non-Latinx Male" dataDxfId="186">
      <calculatedColumnFormula>IFERROR('Counts Entered by User'!I19/'Counts Entered by User'!$I$3," ")</calculatedColumnFormula>
    </tableColumn>
    <tableColumn id="10" xr3:uid="{8745033F-45D3-4B40-B4D0-2ED41BAC6CAC}" name="Black Non-Latinx Female" dataDxfId="185">
      <calculatedColumnFormula>IFERROR('Counts Entered by User'!J19/'Counts Entered by User'!$J$3," ")</calculatedColumnFormula>
    </tableColumn>
    <tableColumn id="11" xr3:uid="{F3822683-3072-4899-8BA1-F9BBA87D2616}" name="Latinx" dataDxfId="184">
      <calculatedColumnFormula>IFERROR('Counts Entered by User'!K19/'Counts Entered by User'!$K$3," ")</calculatedColumnFormula>
    </tableColumn>
    <tableColumn id="12" xr3:uid="{4A4F92B1-3A46-4371-A66C-0CD4F292EC02}" name="Latinx Male" dataDxfId="183">
      <calculatedColumnFormula>IFERROR('Counts Entered by User'!L19/'Counts Entered by User'!$L$3," ")</calculatedColumnFormula>
    </tableColumn>
    <tableColumn id="13" xr3:uid="{11336FB4-34A0-41A0-B049-0678E1494FC2}" name="Latinx Female" dataDxfId="182">
      <calculatedColumnFormula>IFERROR('Counts Entered by User'!M19/'Counts Entered by User'!$M$3," ")</calculatedColumnFormula>
    </tableColumn>
    <tableColumn id="14" xr3:uid="{DB0A5EBE-AA25-42A5-AEB2-9A61CFD8E362}" name="Multiracial" dataDxfId="181">
      <calculatedColumnFormula>IFERROR('Counts Entered by User'!N19/'Counts Entered by User'!$N$3," ")</calculatedColumnFormula>
    </tableColumn>
    <tableColumn id="15" xr3:uid="{7013B015-4186-49CE-8D8D-B7D1C848B850}" name="Multiracial Male" dataDxfId="180">
      <calculatedColumnFormula>IFERROR('Counts Entered by User'!O19/'Counts Entered by User'!$O$3," ")</calculatedColumnFormula>
    </tableColumn>
    <tableColumn id="16" xr3:uid="{859684A9-B14B-44B8-B83B-63A820A8B8A0}" name="Multiracial Female" dataDxfId="179">
      <calculatedColumnFormula>IFERROR('Counts Entered by User'!P19/'Counts Entered by User'!$P$3," ")</calculatedColumnFormula>
    </tableColumn>
    <tableColumn id="17" xr3:uid="{4AA44125-FC07-4E4D-AC12-19B492623DAD}" name="Native American or Alaska Native" dataDxfId="178">
      <calculatedColumnFormula>IFERROR('Counts Entered by User'!Q19/'Counts Entered by User'!$Q$3," ")</calculatedColumnFormula>
    </tableColumn>
    <tableColumn id="18" xr3:uid="{94DC3E17-E72E-4FB9-A95B-EA463F3BFFC4}" name="Native American or Alaska Native Male" dataDxfId="177">
      <calculatedColumnFormula>IFERROR('Counts Entered by User'!R19/'Counts Entered by User'!$R$3," ")</calculatedColumnFormula>
    </tableColumn>
    <tableColumn id="19" xr3:uid="{821B062A-7F94-41DA-A107-833026FB07D9}" name="Native American or Alaska Native Female" dataDxfId="176">
      <calculatedColumnFormula>IFERROR('Counts Entered by User'!S19/'Counts Entered by User'!$S$3," ")</calculatedColumnFormula>
    </tableColumn>
    <tableColumn id="20" xr3:uid="{71D4A4A6-228F-434F-8AAB-B9BF8BB68BCD}" name="White Non-Latinx" dataDxfId="175">
      <calculatedColumnFormula>IFERROR('Counts Entered by User'!T19/'Counts Entered by User'!$T$3, " ")</calculatedColumnFormula>
    </tableColumn>
    <tableColumn id="21" xr3:uid="{82561B29-F79D-4157-A63C-11E5A3D836F9}" name="White Non-Latinx Male" dataDxfId="174">
      <calculatedColumnFormula>IFERROR('Counts Entered by User'!U19/'Counts Entered by User'!$U$3, " ")</calculatedColumnFormula>
    </tableColumn>
    <tableColumn id="22" xr3:uid="{7B4F2E37-778E-4B8A-8244-7DC0C14464B1}" name="White Non-Latinx Female" dataDxfId="173">
      <calculatedColumnFormula>IFERROR('Counts Entered by User'!V19/'Counts Entered by User'!$V$3, " ")</calculatedColumnFormula>
    </tableColumn>
    <tableColumn id="23" xr3:uid="{48760416-513A-453A-B668-D3A39163DC79}" name="Learners with Disabilities" dataDxfId="172">
      <calculatedColumnFormula>IFERROR('Counts Entered by User'!W19/'Counts Entered by User'!$W$3," ")</calculatedColumnFormula>
    </tableColumn>
    <tableColumn id="24" xr3:uid="{71686D3E-1969-4358-881F-1339EC885C1E}" name="Learners with Disabilities Male" dataDxfId="171">
      <calculatedColumnFormula>IFERROR('Counts Entered by User'!X19/'Counts Entered by User'!$X$3," ")</calculatedColumnFormula>
    </tableColumn>
    <tableColumn id="25" xr3:uid="{B641F55A-3AB8-4C31-8D60-25A5A44B1E34}" name="Learners with Disabilities Female" dataDxfId="170">
      <calculatedColumnFormula>IFERROR('Counts Entered by User'!Y19/'Counts Entered by User'!$Y$3," ")</calculatedColumnFormula>
    </tableColumn>
    <tableColumn id="26" xr3:uid="{03A406D7-2F3C-41DC-BBD9-3C1B1F094962}" name="Economically Disadvantaged" dataDxfId="169">
      <calculatedColumnFormula>IFERROR('Counts Entered by User'!Z19/'Counts Entered by User'!$Z$3," ")</calculatedColumnFormula>
    </tableColumn>
    <tableColumn id="27" xr3:uid="{949A0857-3FC5-497A-A85D-857CFF457C65}" name="Economically Disadvantaged Male" dataDxfId="168">
      <calculatedColumnFormula>IFERROR('Counts Entered by User'!AA19/'Counts Entered by User'!$AA$3," ")</calculatedColumnFormula>
    </tableColumn>
    <tableColumn id="28" xr3:uid="{7F71EC35-5611-428C-9290-0103B12CF2AE}" name="Economically Disadvantaged Female" dataDxfId="167">
      <calculatedColumnFormula>IFERROR('Counts Entered by User'!AB19/'Counts Entered by User'!$AB$3," ")</calculatedColumnFormula>
    </tableColumn>
    <tableColumn id="29" xr3:uid="{2EECAB93-C45A-4B22-9378-1257A3C1D449}" name="English Learner" dataDxfId="166">
      <calculatedColumnFormula>IFERROR('Counts Entered by User'!AC19/'Counts Entered by User'!$AC$3," ")</calculatedColumnFormula>
    </tableColumn>
    <tableColumn id="30" xr3:uid="{9D0B536E-1CEC-4E17-A5FE-CE9F0E237F4B}" name="English Learner Male" dataDxfId="165">
      <calculatedColumnFormula>IFERROR('Counts Entered by User'!AD19/'Counts Entered by User'!$AD$3," ")</calculatedColumnFormula>
    </tableColumn>
    <tableColumn id="31" xr3:uid="{F2063481-7118-4F9E-8945-8AD1CB3F6DC9}" name="English Learner Female" dataDxfId="164">
      <calculatedColumnFormula>IFERROR('Counts Entered by User'!AE19/'Counts Entered by User'!$AE$3," ")</calculatedColumnFormula>
    </tableColumn>
    <tableColumn id="32" xr3:uid="{B7DFE824-33BC-4227-8BEA-0C2E2C1C0185}" name="Migrant" dataDxfId="163">
      <calculatedColumnFormula>IFERROR('Counts Entered by User'!AF19/'Counts Entered by User'!$AF$3," ")</calculatedColumnFormula>
    </tableColumn>
    <tableColumn id="33" xr3:uid="{BFA21646-D9AC-4D86-A5DB-1E9B7F1C1809}" name="Migrant Male" dataDxfId="162">
      <calculatedColumnFormula>IFERROR('Counts Entered by User'!AG19/'Counts Entered by User'!$AG$3," ")</calculatedColumnFormula>
    </tableColumn>
    <tableColumn id="34" xr3:uid="{B2D95417-4045-4CEA-B145-4A97230CC79E}" name="Migrant Female" dataDxfId="161">
      <calculatedColumnFormula>IFERROR('Counts Entered by User'!AH19/'Counts Entered by User'!$AH$3," ")</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CA6E358-8275-4276-9C16-54E4D0DD388D}" name="GoalAsCount_Tbl" displayName="GoalAsCount_Tbl" ref="A2:AH14" totalsRowShown="0" headerRowDxfId="160" dataDxfId="159" tableBorderDxfId="158">
  <tableColumns count="34">
    <tableColumn id="1" xr3:uid="{9086A613-BF4D-4342-8A50-D07E9A2915EA}" name="Column1" dataDxfId="157"/>
    <tableColumn id="2" xr3:uid="{05384BC3-3D5D-45C1-9D3C-A833BB902A55}" name="Total Population for Each Indicator" dataDxfId="156">
      <calculatedColumnFormula>_xlfn.IFS('Counts Entered by User'!$B$3*'Goals Entered by User'!B3=0," ",'Counts Entered by User'!$B$3*'Goals Entered by User'!B3&lt;1," ",'Counts Entered by User'!$B$3*'Goals Entered by User'!B3&gt;1,'Counts Entered by User'!$B$3*'Goals Entered by User'!B3)</calculatedColumnFormula>
    </tableColumn>
    <tableColumn id="3" xr3:uid="{063C266E-0291-4243-82F6-F50CC6F0105D}" name="Male" dataDxfId="155">
      <calculatedColumnFormula>_xlfn.IFS('Counts Entered by User'!$C$3*'Goals Entered by User'!C3=0," ",'Counts Entered by User'!$C$3*'Goals Entered by User'!C3&lt;1," ",'Counts Entered by User'!$C$3*'Goals Entered by User'!C3&gt;=1,'Counts Entered by User'!$C$3*'Goals Entered by User'!C3)</calculatedColumnFormula>
    </tableColumn>
    <tableColumn id="4" xr3:uid="{887FE210-1EB9-427F-B0D4-D9DFB78F5814}" name="Female" dataDxfId="154">
      <calculatedColumnFormula>_xlfn.IFS('Counts Entered by User'!$D$3*'Goals Entered by User'!D3=0," ",'Counts Entered by User'!$D$3*'Goals Entered by User'!D3&lt;1," ",'Counts Entered by User'!$D$3*'Goals Entered by User'!D3&gt;=1,'Counts Entered by User'!$D$3*'Goals Entered by User'!D3)</calculatedColumnFormula>
    </tableColumn>
    <tableColumn id="5" xr3:uid="{79A5AC3C-DC8F-4EAE-A508-293CE9BC3857}" name="Asian or Pacific Islander" dataDxfId="153">
      <calculatedColumnFormula>_xlfn.IFS('Counts Entered by User'!$E$3*'Goals Entered by User'!E3=0," ",'Counts Entered by User'!$E$3*'Goals Entered by User'!E3&lt;1," ",'Counts Entered by User'!$E$3*'Goals Entered by User'!E3&gt;=1,'Counts Entered by User'!$E$3*'Goals Entered by User'!E3)</calculatedColumnFormula>
    </tableColumn>
    <tableColumn id="6" xr3:uid="{D6C7900B-0386-482A-889C-B6B7817A1BF9}" name="Asian or Pacific Islander Male" dataDxfId="152">
      <calculatedColumnFormula>_xlfn.IFS('Counts Entered by User'!$F$3*'Goals Entered by User'!F3=0," ",'Counts Entered by User'!$F$3*'Goals Entered by User'!F3&lt;1," ",'Counts Entered by User'!$F$3*'Goals Entered by User'!F3&gt;=1,'Counts Entered by User'!$F$3*'Goals Entered by User'!F3)</calculatedColumnFormula>
    </tableColumn>
    <tableColumn id="7" xr3:uid="{0FED8C6F-3B59-483F-A61E-47A8633CE5D3}" name="Asian or Pacific Islander Female" dataDxfId="151">
      <calculatedColumnFormula>_xlfn.IFS('Counts Entered by User'!$G$3*'Goals Entered by User'!G3=0," ",'Counts Entered by User'!$G$3*'Goals Entered by User'!G3&lt;1," ",'Counts Entered by User'!$G$3*'Goals Entered by User'!G3&gt;=1,'Counts Entered by User'!$G$3*'Goals Entered by User'!G3)</calculatedColumnFormula>
    </tableColumn>
    <tableColumn id="8" xr3:uid="{496B4FC1-A674-4395-A086-7F6EE0BE27EB}" name="Black Non-Latinx" dataDxfId="150">
      <calculatedColumnFormula>_xlfn.IFS('Counts Entered by User'!$H$3*'Goals Entered by User'!H3=0," ",'Counts Entered by User'!$H$3*'Goals Entered by User'!H3&lt;1," ",'Counts Entered by User'!$H$3*'Goals Entered by User'!H3&gt;=1,'Counts Entered by User'!$H$3*'Goals Entered by User'!H3)</calculatedColumnFormula>
    </tableColumn>
    <tableColumn id="9" xr3:uid="{29ED93BA-5937-48D0-8537-8D0B1AE3B740}" name="Black Non-Latinx Male" dataDxfId="149">
      <calculatedColumnFormula>_xlfn.IFS('Counts Entered by User'!$I$3*'Goals Entered by User'!I3=0," ",'Counts Entered by User'!$I$3*'Goals Entered by User'!I3&lt;1," ",'Counts Entered by User'!$I$3*'Goals Entered by User'!I3&gt;=1,'Counts Entered by User'!$I$3*'Goals Entered by User'!I3)</calculatedColumnFormula>
    </tableColumn>
    <tableColumn id="10" xr3:uid="{4E11E90D-1E24-4D28-8CEA-1E82F7FA3395}" name="Black Non-Latinx Female" dataDxfId="148">
      <calculatedColumnFormula>_xlfn.IFS('Counts Entered by User'!$J$3*'Goals Entered by User'!J3=0," ",'Counts Entered by User'!$J$3*'Goals Entered by User'!J3&lt;1," ",'Counts Entered by User'!$J$3*'Goals Entered by User'!J3&gt;=1,'Counts Entered by User'!$J$3*'Goals Entered by User'!J3)</calculatedColumnFormula>
    </tableColumn>
    <tableColumn id="11" xr3:uid="{6DDD56C0-56A3-4294-9DBA-790DD993E74B}" name="Latinx" dataDxfId="147">
      <calculatedColumnFormula>_xlfn.IFS('Counts Entered by User'!$K$3*'Goals Entered by User'!K3=0," ",'Counts Entered by User'!$K$3*'Goals Entered by User'!K3&lt;1," ",'Counts Entered by User'!$K$3*'Goals Entered by User'!K3&gt;=1,'Counts Entered by User'!$K$3*'Goals Entered by User'!K3)</calculatedColumnFormula>
    </tableColumn>
    <tableColumn id="12" xr3:uid="{69C4EC02-6615-41C8-9B7C-D4620BE5DAF1}" name="Latinx Male" dataDxfId="146">
      <calculatedColumnFormula>_xlfn.IFS('Counts Entered by User'!$L$3*'Goals Entered by User'!L3=0," ",'Counts Entered by User'!$L$3*'Goals Entered by User'!L3&lt;1," ",'Counts Entered by User'!$L$3*'Goals Entered by User'!L3&gt;=1,'Counts Entered by User'!$L$3*'Goals Entered by User'!L3)</calculatedColumnFormula>
    </tableColumn>
    <tableColumn id="13" xr3:uid="{4B584605-F166-43E4-BEE1-E94E6E203524}" name="Latinx Female" dataDxfId="145">
      <calculatedColumnFormula>_xlfn.IFS('Counts Entered by User'!$M$3*'Goals Entered by User'!M3=0," ",'Counts Entered by User'!$M$3*'Goals Entered by User'!M3&lt;1," ",'Counts Entered by User'!$M$3*'Goals Entered by User'!M3&gt;=1,'Counts Entered by User'!$M$3*'Goals Entered by User'!M3)</calculatedColumnFormula>
    </tableColumn>
    <tableColumn id="14" xr3:uid="{F1070B11-B4F2-45FD-A7C6-A225B589E5DA}" name="Multiracial" dataDxfId="144">
      <calculatedColumnFormula>_xlfn.IFS('Counts Entered by User'!$N$3*'Goals Entered by User'!N3=0," ",'Counts Entered by User'!$N$3*'Goals Entered by User'!N3&lt;1," ",'Counts Entered by User'!$N$3*'Goals Entered by User'!N3&gt;=1,'Counts Entered by User'!$N$3*'Goals Entered by User'!N3)</calculatedColumnFormula>
    </tableColumn>
    <tableColumn id="15" xr3:uid="{24E70351-5AD0-4114-B39D-62B99F8E4F10}" name="Multiracial Male" dataDxfId="143">
      <calculatedColumnFormula>_xlfn.IFS('Counts Entered by User'!$O$3*'Goals Entered by User'!O3=0," ",'Counts Entered by User'!$O$3*'Goals Entered by User'!O3&lt;1," ",'Counts Entered by User'!$O$3*'Goals Entered by User'!O3&gt;=1,'Counts Entered by User'!$O$3*'Goals Entered by User'!O3)</calculatedColumnFormula>
    </tableColumn>
    <tableColumn id="16" xr3:uid="{241AA61C-F69D-48E0-ABE9-44A546E33156}" name="Multiracial Female" dataDxfId="142">
      <calculatedColumnFormula>_xlfn.IFS('Counts Entered by User'!$P$3*'Goals Entered by User'!P3=0," ",'Counts Entered by User'!$P$3*'Goals Entered by User'!P3&lt;1," ",'Counts Entered by User'!$P$3*'Goals Entered by User'!P3&gt;=1,'Counts Entered by User'!$P$3*'Goals Entered by User'!P3)</calculatedColumnFormula>
    </tableColumn>
    <tableColumn id="17" xr3:uid="{A8519EB3-4739-4615-8267-67CBE841313F}" name="Native American or Alaska Native" dataDxfId="141">
      <calculatedColumnFormula>_xlfn.IFS('Counts Entered by User'!$Q$3*'Goals Entered by User'!Q3=0," ",'Counts Entered by User'!$Q$3*'Goals Entered by User'!Q3&lt;1," ",'Counts Entered by User'!$Q$3*'Goals Entered by User'!Q3&gt;=1,'Counts Entered by User'!$Q$3*'Goals Entered by User'!Q3)</calculatedColumnFormula>
    </tableColumn>
    <tableColumn id="18" xr3:uid="{4FDF9CB1-7D85-423B-90D1-A0EED208AEAF}" name="Native American or Alaska Native Male" dataDxfId="140">
      <calculatedColumnFormula>_xlfn.IFS('Counts Entered by User'!$R$3*'Goals Entered by User'!R3=0," ",'Counts Entered by User'!$R$3*'Goals Entered by User'!R3&lt;1," ",'Counts Entered by User'!$R$3*'Goals Entered by User'!R3&gt;=1,'Counts Entered by User'!$R$3*'Goals Entered by User'!R3)</calculatedColumnFormula>
    </tableColumn>
    <tableColumn id="19" xr3:uid="{1294ACF4-526D-4C7E-9EFD-98246B244D33}" name="Native American or Alaska Native Female" dataDxfId="139">
      <calculatedColumnFormula>_xlfn.IFS('Counts Entered by User'!$S$3*'Goals Entered by User'!S3=0," ",'Counts Entered by User'!$S$3*'Goals Entered by User'!S3&lt;1," ",'Counts Entered by User'!$S$3*'Goals Entered by User'!S3&gt;=1,'Counts Entered by User'!$S$3*'Goals Entered by User'!S3)</calculatedColumnFormula>
    </tableColumn>
    <tableColumn id="20" xr3:uid="{7C936FB3-2CBF-40F4-B773-134360828D4F}" name="White Non-Latinx" dataDxfId="138">
      <calculatedColumnFormula>_xlfn.IFS('Counts Entered by User'!$T$3*'Goals Entered by User'!T3=0," ",'Counts Entered by User'!$T$3*'Goals Entered by User'!T3&lt;1," ",'Counts Entered by User'!$T$3*'Goals Entered by User'!T3&gt;=1,'Counts Entered by User'!$T$3*'Goals Entered by User'!T3)</calculatedColumnFormula>
    </tableColumn>
    <tableColumn id="21" xr3:uid="{2135F37C-5858-4E50-8C2F-BBB604075D7E}" name="White Non-Latinx Male" dataDxfId="137">
      <calculatedColumnFormula>_xlfn.IFS('Counts Entered by User'!$U$3*'Goals Entered by User'!U3=0," ",'Counts Entered by User'!$U$3*'Goals Entered by User'!U3&lt;1," ",'Counts Entered by User'!$U$3*'Goals Entered by User'!U3&gt;=1,'Counts Entered by User'!$U$3*'Goals Entered by User'!U3)</calculatedColumnFormula>
    </tableColumn>
    <tableColumn id="22" xr3:uid="{F8046484-965B-46A0-964E-991BD9C6A9E5}" name="White Non-Latinx Female" dataDxfId="136">
      <calculatedColumnFormula>_xlfn.IFS('Counts Entered by User'!$V$3*'Goals Entered by User'!V3=0," ",'Counts Entered by User'!$V$3*'Goals Entered by User'!V3&lt;1," ",'Counts Entered by User'!$V$3*'Goals Entered by User'!V3&gt;=1,'Counts Entered by User'!$V$3*'Goals Entered by User'!V3)</calculatedColumnFormula>
    </tableColumn>
    <tableColumn id="23" xr3:uid="{AA51C100-2814-46AC-B3C9-FE12270DBB94}" name="Learners with Disabilities" dataDxfId="135">
      <calculatedColumnFormula>_xlfn.IFS('Counts Entered by User'!$W$3*'Goals Entered by User'!W3=0," ",'Counts Entered by User'!$W$3*'Goals Entered by User'!W3&lt;1," ",'Counts Entered by User'!$W$3*'Goals Entered by User'!W3&gt;=1,'Counts Entered by User'!$W$3*'Goals Entered by User'!W3)</calculatedColumnFormula>
    </tableColumn>
    <tableColumn id="24" xr3:uid="{000D43C9-51C1-4487-91AA-C47ED2ABF358}" name="Learners with Disabilities Male" dataDxfId="134">
      <calculatedColumnFormula>_xlfn.IFS('Counts Entered by User'!$X$3*'Goals Entered by User'!X3=0," ",'Counts Entered by User'!$X$3*'Goals Entered by User'!X3&lt;1," ",'Counts Entered by User'!$X$3*'Goals Entered by User'!X3&gt;=1,'Counts Entered by User'!$X$3*'Goals Entered by User'!X3)</calculatedColumnFormula>
    </tableColumn>
    <tableColumn id="25" xr3:uid="{4C84F9E6-AAB6-46F6-9A5D-E1C4C59169BC}" name="Learners with Disabilities Female" dataDxfId="133">
      <calculatedColumnFormula>_xlfn.IFS('Counts Entered by User'!$Y$3*'Goals Entered by User'!Y3=0," ",'Counts Entered by User'!$Y$3*'Goals Entered by User'!Y3&lt;1," ",'Counts Entered by User'!$Y$3*'Goals Entered by User'!Y3&gt;=1,'Counts Entered by User'!$Y$3*'Goals Entered by User'!Y3)</calculatedColumnFormula>
    </tableColumn>
    <tableColumn id="26" xr3:uid="{2BEB5DCF-F986-4A18-AB4E-2AE3296C6BD6}" name="Economically Disadvantaged" dataDxfId="132">
      <calculatedColumnFormula>_xlfn.IFS('Counts Entered by User'!$Z$3*'Goals Entered by User'!Z3=0," ",'Counts Entered by User'!$Z$3*'Goals Entered by User'!Z3&lt;1," ",'Counts Entered by User'!$Z$3*'Goals Entered by User'!Z3&gt;=1,'Counts Entered by User'!$Z$3*'Goals Entered by User'!Z3)</calculatedColumnFormula>
    </tableColumn>
    <tableColumn id="27" xr3:uid="{03F33BE2-EBD1-4923-8384-06B4BEFDD299}" name="Economically Disadvantaged Male" dataDxfId="131">
      <calculatedColumnFormula>_xlfn.IFS('Counts Entered by User'!$AA$3*'Goals Entered by User'!AA3=0," ",'Counts Entered by User'!$AA$3*'Goals Entered by User'!AA3&lt;1," ",'Counts Entered by User'!$AA$3*'Goals Entered by User'!AA3&gt;=1,'Counts Entered by User'!$AA$3*'Goals Entered by User'!AA3)</calculatedColumnFormula>
    </tableColumn>
    <tableColumn id="28" xr3:uid="{0302A761-3D79-40A4-870B-E34000B1AB61}" name="Economically Disadvantaged Female" dataDxfId="130">
      <calculatedColumnFormula>_xlfn.IFS('Counts Entered by User'!$AB$3*'Goals Entered by User'!AB3=0," ",'Counts Entered by User'!$AB$3*'Goals Entered by User'!AB3&lt;1," ",'Counts Entered by User'!$AB$3*'Goals Entered by User'!AB3&gt;=1,'Counts Entered by User'!$AB$3*'Goals Entered by User'!AB3)</calculatedColumnFormula>
    </tableColumn>
    <tableColumn id="29" xr3:uid="{EE71C348-C6B0-46CF-AAB4-01C9135B2452}" name="English Learner" dataDxfId="129">
      <calculatedColumnFormula>_xlfn.IFS('Counts Entered by User'!$AC$3*'Goals Entered by User'!AC3=0," ",'Counts Entered by User'!$AC$3*'Goals Entered by User'!AC3&lt;1," ",'Counts Entered by User'!$AC$3*'Goals Entered by User'!AC3&gt;=1,'Counts Entered by User'!$AC$3*'Goals Entered by User'!AC3)</calculatedColumnFormula>
    </tableColumn>
    <tableColumn id="30" xr3:uid="{F74CE5F8-893F-4F33-BFAC-53F2048426BA}" name="English Learner Male" dataDxfId="128">
      <calculatedColumnFormula>_xlfn.IFS('Counts Entered by User'!$AD$3*'Goals Entered by User'!AD3=0," ",'Counts Entered by User'!$AD$3*'Goals Entered by User'!AD3&lt;1," ",'Counts Entered by User'!$AD$3*'Goals Entered by User'!AD3&gt;=1,'Counts Entered by User'!$AD$3*'Goals Entered by User'!AD3)</calculatedColumnFormula>
    </tableColumn>
    <tableColumn id="31" xr3:uid="{5EE641B9-B54A-4BC8-94B5-3AE4929F6E6D}" name="English Learner Female" dataDxfId="127">
      <calculatedColumnFormula>_xlfn.IFS('Counts Entered by User'!$AE$3*'Goals Entered by User'!AE3=0," ",'Counts Entered by User'!$AE$3*'Goals Entered by User'!AE3&lt;1," ",'Counts Entered by User'!$AE$3*'Goals Entered by User'!AE3&gt;=1,'Counts Entered by User'!$AE$3*'Goals Entered by User'!AE3)</calculatedColumnFormula>
    </tableColumn>
    <tableColumn id="32" xr3:uid="{FE5E9784-0DE8-4073-ADA7-5C78A7337CBB}" name="Migrant" dataDxfId="126">
      <calculatedColumnFormula>_xlfn.IFS('Counts Entered by User'!$AF$3*'Goals Entered by User'!AF3=0," ",'Counts Entered by User'!$AF$3*'Goals Entered by User'!AF3&lt;1," ",'Counts Entered by User'!$AF$3*'Goals Entered by User'!AF3&gt;=1,'Counts Entered by User'!$AF$3*'Goals Entered by User'!AF3)</calculatedColumnFormula>
    </tableColumn>
    <tableColumn id="33" xr3:uid="{296DC9BA-64DC-4A12-B290-76B3C03A3F8F}" name="Migrant Male" dataDxfId="125">
      <calculatedColumnFormula>_xlfn.IFS('Counts Entered by User'!$AG$3*'Goals Entered by User'!AG3=0," ",'Counts Entered by User'!$AG$3*'Goals Entered by User'!AG3&lt;1," ",'Counts Entered by User'!$AG$3*'Goals Entered by User'!AG3&gt;=1,'Counts Entered by User'!$AG$3*'Goals Entered by User'!AG3)</calculatedColumnFormula>
    </tableColumn>
    <tableColumn id="34" xr3:uid="{A5DCB93A-93EB-41F3-B36B-D9627E8E37AF}" name="Migrant Female" dataDxfId="124">
      <calculatedColumnFormula>_xlfn.IFS('Counts Entered by User'!$AH$3*'Goals Entered by User'!AH3=0," ",'Counts Entered by User'!$AH$3*'Goals Entered by User'!AH3&lt;1," ",'Counts Entered by User'!$AH$3*'Goals Entered by User'!AH3&gt;=1,'Counts Entered by User'!$AH$3*'Goals Entered by User'!AH3)</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2BEE949-E183-4293-99AD-C897F6DC59F4}" name="RemainCntToGoal_Tbl" displayName="RemainCntToGoal_Tbl" ref="A3:AG14" totalsRowShown="0" headerRowDxfId="117" dataDxfId="116" tableBorderDxfId="115">
  <tableColumns count="33">
    <tableColumn id="1" xr3:uid="{671C20BD-CDAA-4A9C-9F07-0EAFB2B9827F}" name="Column1" dataDxfId="114"/>
    <tableColumn id="2" xr3:uid="{00832F2B-B57A-490A-9CA5-FBC5FA4853B0}" name="Male" dataDxfId="113">
      <calculatedColumnFormula>IFERROR(MAX(0,GoalAsCount_Tbl[[#This Row],[Male]]-Count_Tbl[[#This Row],[Male]])," ")</calculatedColumnFormula>
    </tableColumn>
    <tableColumn id="3" xr3:uid="{675B4E1C-95A4-4494-8E6B-55B969FB1295}" name="Female" dataDxfId="112">
      <calculatedColumnFormula>IFERROR(MAX(0,GoalAsCount_Tbl[[#This Row],[Female]]-Count_Tbl[[#This Row],[Female]])," ")</calculatedColumnFormula>
    </tableColumn>
    <tableColumn id="4" xr3:uid="{BB6787FD-5A4A-4283-8792-4A15FB7CF853}" name="Asian or Pacific Islander" dataDxfId="111">
      <calculatedColumnFormula>IFERROR(MAX(0,GoalAsCount_Tbl[[#This Row],[Asian or Pacific Islander]]-Count_Tbl[[#This Row],[Asian or Pacific Islander]])," ")</calculatedColumnFormula>
    </tableColumn>
    <tableColumn id="5" xr3:uid="{55444A75-4BEE-4B93-A04E-91542C893CC9}" name="Asian or Pacific Islander Male" dataDxfId="110">
      <calculatedColumnFormula>IFERROR(MAX(0,GoalAsCount_Tbl[[#This Row],[Asian or Pacific Islander Male]]-Count_Tbl[[#This Row],[Asian or Pacific Islander Male]])," ")</calculatedColumnFormula>
    </tableColumn>
    <tableColumn id="6" xr3:uid="{FD05B083-B287-4116-8429-90780AA9C050}" name="Asian or Pacific Islander Female" dataDxfId="109">
      <calculatedColumnFormula>IFERROR(MAX(0,GoalAsCount_Tbl[[#This Row],[Asian or Pacific Islander Female]]-Count_Tbl[[#This Row],[Asian or Pacific Islander Female]])," ")</calculatedColumnFormula>
    </tableColumn>
    <tableColumn id="7" xr3:uid="{D6313616-DE37-4217-9A4F-476A5449D577}" name="Black Non-Latinx" dataDxfId="108">
      <calculatedColumnFormula>IFERROR(MAX(0,GoalAsCount_Tbl[[#This Row],[Black Non-Latinx]]-Count_Tbl[[#This Row],[Black Non-Latinx]])," ")</calculatedColumnFormula>
    </tableColumn>
    <tableColumn id="8" xr3:uid="{2B7D6AEA-BB84-4C30-B483-B890A72DDF17}" name="Black Non-Latinx Male" dataDxfId="107">
      <calculatedColumnFormula>IFERROR(MAX(0,GoalAsCount_Tbl[[#This Row],[Black Non-Latinx Male]]-Count_Tbl[[#This Row],[Black Non-Latinx Male]])," ")</calculatedColumnFormula>
    </tableColumn>
    <tableColumn id="9" xr3:uid="{7DF08AFE-5987-4EFA-ACD9-CD18BF623B9A}" name="Black Non-Latinx Female" dataDxfId="106">
      <calculatedColumnFormula>IFERROR(MAX(0,GoalAsCount_Tbl[[#This Row],[Black Non-Latinx Female]]-Count_Tbl[[#This Row],[Black Non-Latinx Female]])," ")</calculatedColumnFormula>
    </tableColumn>
    <tableColumn id="10" xr3:uid="{9ADCD9AB-AB66-4B13-B4CB-75FE044B7C12}" name="Latinx" dataDxfId="105">
      <calculatedColumnFormula>IFERROR(MAX(0,GoalAsCount_Tbl[[#This Row],[Latinx]]-Count_Tbl[[#This Row],[Latinx]])," ")</calculatedColumnFormula>
    </tableColumn>
    <tableColumn id="11" xr3:uid="{76E74CF5-840D-4B47-A77D-12675052EF71}" name="Latinx Male" dataDxfId="104">
      <calculatedColumnFormula>IFERROR(MAX(0,GoalAsCount_Tbl[[#This Row],[Latinx Male]]-Count_Tbl[[#This Row],[Latinx Male]])," ")</calculatedColumnFormula>
    </tableColumn>
    <tableColumn id="12" xr3:uid="{154E8FF2-02C6-4F49-8049-1574431301EC}" name="Latinx Female" dataDxfId="103">
      <calculatedColumnFormula>IFERROR(MAX(0,GoalAsCount_Tbl[[#This Row],[Latinx Female]]-Count_Tbl[[#This Row],[Latinx Female]])," ")</calculatedColumnFormula>
    </tableColumn>
    <tableColumn id="13" xr3:uid="{699F71A3-8C9F-407A-9333-1F0867E943AD}" name="Multiracial" dataDxfId="102">
      <calculatedColumnFormula>IFERROR(MAX(0,,GoalAsCount_Tbl[[#This Row],[Multiracial]]-Count_Tbl[[#This Row],[Multiracial]])," ")</calculatedColumnFormula>
    </tableColumn>
    <tableColumn id="14" xr3:uid="{680CFB1C-916B-4E13-A621-9A0616AB03CC}" name="Multiracial Male" dataDxfId="101">
      <calculatedColumnFormula>IFERROR(MAX(0,,GoalAsCount_Tbl[[#This Row],[Multiracial Male]]-Count_Tbl[[#This Row],[Multiracial Male]])," ")</calculatedColumnFormula>
    </tableColumn>
    <tableColumn id="15" xr3:uid="{E60F7F6F-C64E-4EBD-A94B-E7AFCCCDCE3C}" name="Multiracial Female" dataDxfId="100">
      <calculatedColumnFormula>IFERROR(MAX(0,GoalAsCount_Tbl[[#This Row],[Multiracial Female]]-Count_Tbl[[#This Row],[Multiracial Female]])," ")</calculatedColumnFormula>
    </tableColumn>
    <tableColumn id="16" xr3:uid="{53A8D402-8295-4BC4-8AFA-8CD2CDA51417}" name="Native American or Alaska Native" dataDxfId="99">
      <calculatedColumnFormula>IFERROR(MAX(0,GoalAsCount_Tbl[[#This Row],[Native American or Alaska Native]]-Count_Tbl[[#This Row],[Native American or Alaska Native]])," ")</calculatedColumnFormula>
    </tableColumn>
    <tableColumn id="17" xr3:uid="{30F31F3B-4B1F-4E1F-A75C-D4B1BB21EB35}" name="Native American or Alaska Native Male" dataDxfId="98">
      <calculatedColumnFormula>IFERROR(MAX(0,GoalAsCount_Tbl[[#This Row],[Native American or Alaska Native Male]]-Count_Tbl[[#This Row],[Native American or Alaska Native Male]])," ")</calculatedColumnFormula>
    </tableColumn>
    <tableColumn id="18" xr3:uid="{77298B7B-16D8-4CFD-9AD3-E08BDB716AD9}" name="Native American or Alaska Native Female" dataDxfId="97">
      <calculatedColumnFormula>IFERROR(MAX(0,GoalAsCount_Tbl[[#This Row],[Native American or Alaska Native Female]]-Count_Tbl[[#This Row],[Native American or Alaska Native Female]])," ")</calculatedColumnFormula>
    </tableColumn>
    <tableColumn id="19" xr3:uid="{2B50074A-4B71-4BDE-81C0-5F07708267F2}" name="White Non-Latinx" dataDxfId="96">
      <calculatedColumnFormula>IFERROR(MAX(0,GoalAsCount_Tbl[[#This Row],[White Non-Latinx]]-Count_Tbl[[#This Row],[White Non-Latinx]])," ")</calculatedColumnFormula>
    </tableColumn>
    <tableColumn id="20" xr3:uid="{A6019016-4F29-4CD8-87F2-909FDB6FD9EA}" name="White Non-Latinx Male" dataDxfId="95">
      <calculatedColumnFormula>IFERROR(MAX(0,GoalAsCount_Tbl[[#This Row],[White Non-Latinx Male]]-Count_Tbl[[#This Row],[White Non-Latinx Male]])," ")</calculatedColumnFormula>
    </tableColumn>
    <tableColumn id="21" xr3:uid="{89133D86-ECC1-4F64-9686-BC4526B0D0D2}" name="White Non-Latinx Female" dataDxfId="94">
      <calculatedColumnFormula>IFERROR(MAX(0,GoalAsCount_Tbl[[#This Row],[White Non-Latinx Female]]-Count_Tbl[[#This Row],[White Non-Latinx Female]])," ")</calculatedColumnFormula>
    </tableColumn>
    <tableColumn id="22" xr3:uid="{668CEE9D-96CB-486B-A32C-1DFBABE8E4E9}" name="Learners with Disabilities" dataDxfId="93">
      <calculatedColumnFormula>IFERROR(MAX(0,GoalAsCount_Tbl[[#This Row],[Learners with Disabilities]]-Count_Tbl[[#This Row],[Learners with Disabilities]])," ")</calculatedColumnFormula>
    </tableColumn>
    <tableColumn id="23" xr3:uid="{F75F120D-6222-4762-AD3D-95251699B22B}" name="Learners with Disabilities Male" dataDxfId="92">
      <calculatedColumnFormula>IFERROR(MAX(0,GoalAsCount_Tbl[[#This Row],[Learners with Disabilities Male]]-Count_Tbl[[#This Row],[Learners with Disabilities Male]])," ")</calculatedColumnFormula>
    </tableColumn>
    <tableColumn id="24" xr3:uid="{F4E1AA18-972C-4E71-A644-00C2AC457C03}" name="Learners with Disabilities Female" dataDxfId="91">
      <calculatedColumnFormula>IFERROR(MAX(0,GoalAsCount_Tbl[[#This Row],[Learners with Disabilities Female]]-Count_Tbl[[#This Row],[Learners with Disabilities Female]])," ")</calculatedColumnFormula>
    </tableColumn>
    <tableColumn id="25" xr3:uid="{41F87876-AFB4-440D-9DD3-F8EF7251A94E}" name="Economically Disadvantaged" dataDxfId="90">
      <calculatedColumnFormula>IFERROR(MAX(0,GoalAsCount_Tbl[[#This Row],[Economically Disadvantaged]]-Count_Tbl[[#This Row],[Economically Disadvantaged]])," ")</calculatedColumnFormula>
    </tableColumn>
    <tableColumn id="26" xr3:uid="{A52CAC8D-46D5-430C-9DEB-3F9AB310340C}" name="Economically Disadvantaged Male" dataDxfId="89">
      <calculatedColumnFormula>IFERROR(MAX(0,GoalAsCount_Tbl[[#This Row],[Economically Disadvantaged Male]]-Count_Tbl[[#This Row],[Economically Disadvantaged Male]])," ")</calculatedColumnFormula>
    </tableColumn>
    <tableColumn id="27" xr3:uid="{CEC33C65-7BCD-4063-95FC-95BBE4557512}" name="Economically Disadvantaged Female" dataDxfId="88">
      <calculatedColumnFormula>IFERROR(MAX(0,GoalAsCount_Tbl[[#This Row],[Economically Disadvantaged Female]]-Count_Tbl[[#This Row],[Economically Disadvantaged Female]])," ")</calculatedColumnFormula>
    </tableColumn>
    <tableColumn id="28" xr3:uid="{411247E4-3132-4346-8AAA-821F090ADE9D}" name="English Learner" dataDxfId="87">
      <calculatedColumnFormula>IFERROR(MAX(0,GoalAsCount_Tbl[[#This Row],[English Learner]]-Count_Tbl[[#This Row],[English Learner]])," ")</calculatedColumnFormula>
    </tableColumn>
    <tableColumn id="29" xr3:uid="{8AAA6275-11D6-4B96-AADB-B75CF9EC5D4D}" name="English Learner Male" dataDxfId="86">
      <calculatedColumnFormula>IFERROR(MAX(0,GoalAsCount_Tbl[[#This Row],[English Learner Male]]-Count_Tbl[[#This Row],[English Learner Male]])," ")</calculatedColumnFormula>
    </tableColumn>
    <tableColumn id="30" xr3:uid="{7C570598-85F8-4BB0-BDB5-D84E4CBD19F5}" name="English Learner Female" dataDxfId="85">
      <calculatedColumnFormula>IFERROR(MAX(0,GoalAsCount_Tbl[[#This Row],[English Learner Female]]-Count_Tbl[[#This Row],[English Learner Female]])," ")</calculatedColumnFormula>
    </tableColumn>
    <tableColumn id="31" xr3:uid="{9A36A77E-DBF8-4A41-8E5E-9118BD2CB5B1}" name="Migrant" dataDxfId="84">
      <calculatedColumnFormula>IFERROR(MAX(0,GoalAsCount_Tbl[[#This Row],[Migrant]]-Count_Tbl[[#This Row],[Migrant]])," ")</calculatedColumnFormula>
    </tableColumn>
    <tableColumn id="32" xr3:uid="{EB9B4800-1181-419F-8268-6A37CF0DCCEB}" name="Migrant Male" dataDxfId="83">
      <calculatedColumnFormula>IFERROR(MAX(0,GoalAsCount_Tbl[[#This Row],[Migrant Male]]-Count_Tbl[[#This Row],[Migrant Male]])," ")</calculatedColumnFormula>
    </tableColumn>
    <tableColumn id="33" xr3:uid="{BAD88D23-A460-48D5-85BE-FA4E2F40AF4A}" name="Migrant Female" dataDxfId="82">
      <calculatedColumnFormula>IFERROR(MAX(0,GoalAsCount_Tbl[[#This Row],[Migrant Female]]-Count_Tbl[[#This Row],[Migrant Female]])," ")</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1BF6379-E9E4-4640-9881-A512B53149D6}" name="PctOfGoal_Tbl" displayName="PctOfGoal_Tbl" ref="A3:AG16" totalsRowShown="0" headerRowDxfId="73" dataDxfId="72" tableBorderDxfId="71" dataCellStyle="Percent">
  <tableColumns count="33">
    <tableColumn id="1" xr3:uid="{14451F0B-2103-413A-BB25-D1E6D5451957}" name="Indicator" dataDxfId="70"/>
    <tableColumn id="2" xr3:uid="{F1CDF7C9-0D23-4ECD-9D84-8B31D5DCDCA1}" name="Male" dataDxfId="69" dataCellStyle="Percent">
      <calculatedColumnFormula>IFERROR(IF(Count_Tbl[[#This Row],[Male]]/GoalAsCount_Tbl[[#This Row],[Male]]&gt;=1,"Goal Met",Count_Tbl[[#This Row],[Male]]/GoalAsCount_Tbl[[#This Row],[Male]])," ")</calculatedColumnFormula>
    </tableColumn>
    <tableColumn id="3" xr3:uid="{722F2A5D-4E93-4DAA-8CDC-28042D414241}" name="Female" dataDxfId="68" dataCellStyle="Percent">
      <calculatedColumnFormula>IFERROR(IF(Count_Tbl[[#This Row],[Male]]/GoalAsCount_Tbl[[#This Row],[Male]]&gt;=1,"Goal Met",Count_Tbl[[#This Row],[Male]]/GoalAsCount_Tbl[[#This Row],[Male]])," ")</calculatedColumnFormula>
    </tableColumn>
    <tableColumn id="4" xr3:uid="{13F7E804-B9DF-4D3F-A4DA-FEF22AE23B14}" name="Asian or Pacific Islander" dataDxfId="67" dataCellStyle="Percent">
      <calculatedColumnFormula>IFERROR(IF(Count_Tbl[[#This Row],[Male]]/GoalAsCount_Tbl[[#This Row],[Male]]&gt;=1,"Goal Met",Count_Tbl[[#This Row],[Male]]/GoalAsCount_Tbl[[#This Row],[Male]])," ")</calculatedColumnFormula>
    </tableColumn>
    <tableColumn id="5" xr3:uid="{014BCCF3-46B3-4A4F-85D5-13E1649A4285}" name="Asian or Pacific Islander Male" dataDxfId="66" dataCellStyle="Percent">
      <calculatedColumnFormula>IFERROR(IF(Count_Tbl[[#This Row],[Male]]/GoalAsCount_Tbl[[#This Row],[Male]]&gt;=1,"Goal Met",Count_Tbl[[#This Row],[Male]]/GoalAsCount_Tbl[[#This Row],[Male]])," ")</calculatedColumnFormula>
    </tableColumn>
    <tableColumn id="6" xr3:uid="{31FAD572-4C72-40BF-B4BE-2CE984F363DE}" name="Asian or Pacific Islander Female" dataDxfId="65" dataCellStyle="Percent">
      <calculatedColumnFormula>IFERROR(IF(Count_Tbl[[#This Row],[Male]]/GoalAsCount_Tbl[[#This Row],[Male]]&gt;=1,"Goal Met",Count_Tbl[[#This Row],[Male]]/GoalAsCount_Tbl[[#This Row],[Male]])," ")</calculatedColumnFormula>
    </tableColumn>
    <tableColumn id="7" xr3:uid="{8D208C59-D22A-45E6-97D8-5E3A84534F10}" name="Black Non-Latinx" dataDxfId="64" dataCellStyle="Percent">
      <calculatedColumnFormula>IFERROR(IF(Count_Tbl[[#This Row],[Male]]/GoalAsCount_Tbl[[#This Row],[Male]]&gt;=1,"Goal Met",Count_Tbl[[#This Row],[Male]]/GoalAsCount_Tbl[[#This Row],[Male]])," ")</calculatedColumnFormula>
    </tableColumn>
    <tableColumn id="8" xr3:uid="{7CB663D7-5ACA-4D90-9BF8-19E85BDC880A}" name="Black Non-Latinx Male" dataDxfId="63" dataCellStyle="Percent">
      <calculatedColumnFormula>IFERROR(IF(Count_Tbl[[#This Row],[Male]]/GoalAsCount_Tbl[[#This Row],[Male]]&gt;=1,"Goal Met",Count_Tbl[[#This Row],[Male]]/GoalAsCount_Tbl[[#This Row],[Male]])," ")</calculatedColumnFormula>
    </tableColumn>
    <tableColumn id="9" xr3:uid="{3F1CEE6E-E4E1-4C01-AEC4-A35CA62F31F1}" name="Black Non-Latinx Female" dataDxfId="62" dataCellStyle="Percent">
      <calculatedColumnFormula>IFERROR(IF(Count_Tbl[[#This Row],[Male]]/GoalAsCount_Tbl[[#This Row],[Male]]&gt;=1,"Goal Met",Count_Tbl[[#This Row],[Male]]/GoalAsCount_Tbl[[#This Row],[Male]])," ")</calculatedColumnFormula>
    </tableColumn>
    <tableColumn id="10" xr3:uid="{644BB07F-6221-4883-AF4A-ED3CD36FC1D9}" name="Latinx" dataDxfId="61" dataCellStyle="Percent">
      <calculatedColumnFormula>IFERROR(IF(Count_Tbl[[#This Row],[Male]]/GoalAsCount_Tbl[[#This Row],[Male]]&gt;=1,"Goal Met",Count_Tbl[[#This Row],[Male]]/GoalAsCount_Tbl[[#This Row],[Male]])," ")</calculatedColumnFormula>
    </tableColumn>
    <tableColumn id="11" xr3:uid="{6C0A7366-87A1-42AC-A51E-81850EDA94E5}" name="Latinx Male" dataDxfId="60" dataCellStyle="Percent">
      <calculatedColumnFormula>IFERROR(IF(Count_Tbl[[#This Row],[Male]]/GoalAsCount_Tbl[[#This Row],[Male]]&gt;=1,"Goal Met",Count_Tbl[[#This Row],[Male]]/GoalAsCount_Tbl[[#This Row],[Male]])," ")</calculatedColumnFormula>
    </tableColumn>
    <tableColumn id="12" xr3:uid="{EC8E9EC3-E83D-405A-A919-0057713D9C75}" name="Latinx Female" dataDxfId="59" dataCellStyle="Percent">
      <calculatedColumnFormula>IFERROR(IF(Count_Tbl[[#This Row],[Male]]/GoalAsCount_Tbl[[#This Row],[Male]]&gt;=1,"Goal Met",Count_Tbl[[#This Row],[Male]]/GoalAsCount_Tbl[[#This Row],[Male]])," ")</calculatedColumnFormula>
    </tableColumn>
    <tableColumn id="13" xr3:uid="{A602BA41-C5CE-4242-91D7-11E31A38294E}" name="Multiracial" dataDxfId="58" dataCellStyle="Percent">
      <calculatedColumnFormula>IFERROR(IF(Count_Tbl[[#This Row],[Latinx]]/GoalAsCount_Tbl[[#This Row],[Latinx]]&gt;=1,"Goal Met",Count_Tbl[[#This Row],[Latinx]]/GoalAsCount_Tbl[[#This Row],[Latinx]])," ")</calculatedColumnFormula>
    </tableColumn>
    <tableColumn id="14" xr3:uid="{7CCDB1EB-6FE6-4C49-8ED4-40C01AAA9291}" name="Multiracial Male" dataDxfId="57" dataCellStyle="Percent">
      <calculatedColumnFormula>IFERROR(IF(Count_Tbl[[#This Row],[Latinx Male]]/GoalAsCount_Tbl[[#This Row],[Latinx Male]]&gt;=1,"Goal Met",Count_Tbl[[#This Row],[Latinx Male]]/GoalAsCount_Tbl[[#This Row],[Latinx Male]])," ")</calculatedColumnFormula>
    </tableColumn>
    <tableColumn id="15" xr3:uid="{C0382563-BF15-4009-95BB-6087C91E87B2}" name="Multiracial Female" dataDxfId="56" dataCellStyle="Percent">
      <calculatedColumnFormula>IFERROR(IF(Count_Tbl[[#This Row],[Latinx Female]]/GoalAsCount_Tbl[[#This Row],[Latinx Female]]&gt;=1,"Goal Met",Count_Tbl[[#This Row],[Latinx Female]]/GoalAsCount_Tbl[[#This Row],[Latinx Female]])," ")</calculatedColumnFormula>
    </tableColumn>
    <tableColumn id="16" xr3:uid="{726DF9F0-ACD4-45EE-B37D-317C3ECA1545}" name="Native American or Alaska Native" dataDxfId="55" dataCellStyle="Percent">
      <calculatedColumnFormula>IFERROR(IF(Count_Tbl[[#This Row],[Latinx]]/GoalAsCount_Tbl[[#This Row],[Latinx]]&gt;=1,"Goal Met",Count_Tbl[[#This Row],[Latinx]]/GoalAsCount_Tbl[[#This Row],[Latinx]])," ")</calculatedColumnFormula>
    </tableColumn>
    <tableColumn id="17" xr3:uid="{56AB699D-1F4E-42C7-ADBB-D60BCD913D72}" name="Native American or Alaska Native Male" dataDxfId="54" dataCellStyle="Percent">
      <calculatedColumnFormula>IFERROR(IF(Count_Tbl[[#This Row],[Latinx Male]]/GoalAsCount_Tbl[[#This Row],[Latinx Male]]&gt;=1,"Goal Met",Count_Tbl[[#This Row],[Latinx Male]]/GoalAsCount_Tbl[[#This Row],[Latinx Male]])," ")</calculatedColumnFormula>
    </tableColumn>
    <tableColumn id="18" xr3:uid="{EB81649A-D0C7-4327-9C2E-92C90FF10DD1}" name="Native American or Alaska Native Female" dataDxfId="53" dataCellStyle="Percent">
      <calculatedColumnFormula>IFERROR(IF(Count_Tbl[[#This Row],[Latinx Female]]/GoalAsCount_Tbl[[#This Row],[Latinx Female]]&gt;=1,"Goal Met",Count_Tbl[[#This Row],[Latinx Female]]/GoalAsCount_Tbl[[#This Row],[Latinx Female]])," ")</calculatedColumnFormula>
    </tableColumn>
    <tableColumn id="19" xr3:uid="{F77D72E0-5906-4192-B9DC-2C563BF52D18}" name="White Non-Latinx" dataDxfId="52" dataCellStyle="Percent">
      <calculatedColumnFormula>IFERROR(IF(Count_Tbl[[#This Row],[Latinx]]/GoalAsCount_Tbl[[#This Row],[Latinx]]&gt;=1,"Goal Met",Count_Tbl[[#This Row],[Latinx]]/GoalAsCount_Tbl[[#This Row],[Latinx]])," ")</calculatedColumnFormula>
    </tableColumn>
    <tableColumn id="20" xr3:uid="{37AAD828-E8E7-4CEE-BCAF-A4E827D524E7}" name="White Non-Latinx Male" dataDxfId="51" dataCellStyle="Percent">
      <calculatedColumnFormula>IFERROR(IF(Count_Tbl[[#This Row],[Latinx Male]]/GoalAsCount_Tbl[[#This Row],[Latinx Male]]&gt;=1,"Goal Met",Count_Tbl[[#This Row],[Latinx Male]]/GoalAsCount_Tbl[[#This Row],[Latinx Male]])," ")</calculatedColumnFormula>
    </tableColumn>
    <tableColumn id="21" xr3:uid="{BC5476F6-359E-41B2-8371-414319DEAA41}" name="White Non-Latinx Female" dataDxfId="50" dataCellStyle="Percent">
      <calculatedColumnFormula>IFERROR(IF(Count_Tbl[[#This Row],[Latinx Female]]/GoalAsCount_Tbl[[#This Row],[Latinx Female]]&gt;=1,"Goal Met",Count_Tbl[[#This Row],[Latinx Female]]/GoalAsCount_Tbl[[#This Row],[Latinx Female]])," ")</calculatedColumnFormula>
    </tableColumn>
    <tableColumn id="22" xr3:uid="{DAE9FAE3-488A-401A-91A0-C7C12EE425CC}" name="Learners with Disabilities" dataDxfId="49" dataCellStyle="Percent">
      <calculatedColumnFormula>IFERROR(IF(Count_Tbl[[#This Row],[Latinx]]/GoalAsCount_Tbl[[#This Row],[Latinx]]&gt;=1,"Goal Met",Count_Tbl[[#This Row],[Latinx]]/GoalAsCount_Tbl[[#This Row],[Latinx]])," ")</calculatedColumnFormula>
    </tableColumn>
    <tableColumn id="23" xr3:uid="{A32D0D47-A858-4613-A4E2-8CEAEC4B6672}" name="Learners with Disabilities Male" dataDxfId="48" dataCellStyle="Percent">
      <calculatedColumnFormula>IFERROR(IF(Count_Tbl[[#This Row],[Latinx Male]]/GoalAsCount_Tbl[[#This Row],[Latinx Male]]&gt;=1,"Goal Met",Count_Tbl[[#This Row],[Latinx Male]]/GoalAsCount_Tbl[[#This Row],[Latinx Male]])," ")</calculatedColumnFormula>
    </tableColumn>
    <tableColumn id="24" xr3:uid="{9EA4A6BB-FE61-4139-B6DD-80EE98ABCB97}" name="Learners with Disabilities Female" dataDxfId="47" dataCellStyle="Percent">
      <calculatedColumnFormula>IFERROR(IF(Count_Tbl[[#This Row],[Latinx Female]]/GoalAsCount_Tbl[[#This Row],[Latinx Female]]&gt;=1,"Goal Met",Count_Tbl[[#This Row],[Latinx Female]]/GoalAsCount_Tbl[[#This Row],[Latinx Female]])," ")</calculatedColumnFormula>
    </tableColumn>
    <tableColumn id="25" xr3:uid="{17210209-7721-4323-A72A-576ED3A0F763}" name="Economically Disadvantaged" dataDxfId="46" dataCellStyle="Percent">
      <calculatedColumnFormula>IFERROR(IF(Count_Tbl[[#This Row],[Latinx]]/GoalAsCount_Tbl[[#This Row],[Latinx]]&gt;=1,"Goal Met",Count_Tbl[[#This Row],[Latinx]]/GoalAsCount_Tbl[[#This Row],[Latinx]])," ")</calculatedColumnFormula>
    </tableColumn>
    <tableColumn id="26" xr3:uid="{953ED5DC-87F5-42A5-BCA0-C346AC477876}" name="Economically Disadvantaged Male" dataDxfId="45" dataCellStyle="Percent">
      <calculatedColumnFormula>IFERROR(IF(Count_Tbl[[#This Row],[Latinx Male]]/GoalAsCount_Tbl[[#This Row],[Latinx Male]]&gt;=1,"Goal Met",Count_Tbl[[#This Row],[Latinx Male]]/GoalAsCount_Tbl[[#This Row],[Latinx Male]])," ")</calculatedColumnFormula>
    </tableColumn>
    <tableColumn id="27" xr3:uid="{51FC02E8-22B1-4FB3-AE75-4563F0FFC97A}" name="Economically Disadvantaged Female" dataDxfId="44" dataCellStyle="Percent">
      <calculatedColumnFormula>IFERROR(IF(Count_Tbl[[#This Row],[Latinx Female]]/GoalAsCount_Tbl[[#This Row],[Latinx Female]]&gt;=1,"Goal Met",Count_Tbl[[#This Row],[Latinx Female]]/GoalAsCount_Tbl[[#This Row],[Latinx Female]])," ")</calculatedColumnFormula>
    </tableColumn>
    <tableColumn id="28" xr3:uid="{E7F767A2-EC7B-4C2D-B96B-0716BDF9A2A0}" name="English Learner" dataDxfId="43" dataCellStyle="Percent">
      <calculatedColumnFormula>IFERROR(IF(Count_Tbl[[#This Row],[Latinx]]/GoalAsCount_Tbl[[#This Row],[Latinx]]&gt;=1,"Goal Met",Count_Tbl[[#This Row],[Latinx]]/GoalAsCount_Tbl[[#This Row],[Latinx]])," ")</calculatedColumnFormula>
    </tableColumn>
    <tableColumn id="29" xr3:uid="{60686B81-0D34-48A7-91D5-C24BBCD9D980}" name="English Learner Male" dataDxfId="42" dataCellStyle="Percent">
      <calculatedColumnFormula>IFERROR(IF(Count_Tbl[[#This Row],[Latinx Male]]/GoalAsCount_Tbl[[#This Row],[Latinx Male]]&gt;=1,"Goal Met",Count_Tbl[[#This Row],[Latinx Male]]/GoalAsCount_Tbl[[#This Row],[Latinx Male]])," ")</calculatedColumnFormula>
    </tableColumn>
    <tableColumn id="30" xr3:uid="{113D02F6-5A08-4BAE-A256-FAB95AA64CA9}" name="English Learner Female" dataDxfId="41" dataCellStyle="Percent">
      <calculatedColumnFormula>IFERROR(IF(Count_Tbl[[#This Row],[Latinx Female]]/GoalAsCount_Tbl[[#This Row],[Latinx Female]]&gt;=1,"Goal Met",Count_Tbl[[#This Row],[Latinx Female]]/GoalAsCount_Tbl[[#This Row],[Latinx Female]])," ")</calculatedColumnFormula>
    </tableColumn>
    <tableColumn id="31" xr3:uid="{3D22D069-ABF2-417E-9183-9E2FA6EB1866}" name="Migrant" dataDxfId="40" dataCellStyle="Percent">
      <calculatedColumnFormula>IFERROR(IF(Count_Tbl[[#This Row],[Latinx]]/GoalAsCount_Tbl[[#This Row],[Latinx]]&gt;=1,"Goal Met",Count_Tbl[[#This Row],[Latinx]]/GoalAsCount_Tbl[[#This Row],[Latinx]])," ")</calculatedColumnFormula>
    </tableColumn>
    <tableColumn id="32" xr3:uid="{1D5C8063-6593-4886-B602-A30BB398D139}" name="Migrant Male" dataDxfId="39" dataCellStyle="Percent">
      <calculatedColumnFormula>IFERROR(IF(Count_Tbl[[#This Row],[Latinx Male]]/GoalAsCount_Tbl[[#This Row],[Latinx Male]]&gt;=1,"Goal Met",Count_Tbl[[#This Row],[Latinx Male]]/GoalAsCount_Tbl[[#This Row],[Latinx Male]])," ")</calculatedColumnFormula>
    </tableColumn>
    <tableColumn id="33" xr3:uid="{1C1E5458-82D1-4865-BDBE-0FA97102378F}" name="Migrant Female" dataDxfId="38" dataCellStyle="Percent">
      <calculatedColumnFormula>IFERROR(IF(Count_Tbl[[#This Row],[Latinx Female]]/GoalAsCount_Tbl[[#This Row],[Latinx Female]]&gt;=1,"Goal Met",Count_Tbl[[#This Row],[Latinx Female]]/GoalAsCount_Tbl[[#This Row],[Latinx Female]])," ")</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4CEDC9A-9BF3-4526-89E4-6555523D1372}" name="PctOfGoalVert_Tbl" displayName="PctOfGoalVert_Tbl" ref="AK18:AX50" totalsRowShown="0" headerRowDxfId="37" dataDxfId="35" headerRowBorderDxfId="36">
  <autoFilter ref="AK18:AX50" xr:uid="{D4CEDC9A-9BF3-4526-89E4-6555523D1372}"/>
  <sortState xmlns:xlrd2="http://schemas.microsoft.com/office/spreadsheetml/2017/richdata2" ref="AK19:AX50">
    <sortCondition ref="AL18:AL50"/>
  </sortState>
  <tableColumns count="14">
    <tableColumn id="1" xr3:uid="{1016896B-5CC4-4FFA-8524-6519D75395C7}" name="SubGroup" dataDxfId="34"/>
    <tableColumn id="6" xr3:uid="{F7BD92FD-059D-429C-AC60-4F37215E60A5}" name="Order" dataDxfId="33"/>
    <tableColumn id="7" xr3:uid="{4C6B7AFC-6B24-4235-9851-30B130CD0914}" name="Selection" dataDxfId="32" dataCellStyle="Percent">
      <calculatedColumnFormula>INDEX(PctOfGoalVert_Tbl[[#This Row],[CTE Participation]:[HWHD Wages]],MATCH(Ind_Filter,PctOfGoalVert_Tbl[[#Headers],[CTE Participation]:[HWHD Wages]],0))</calculatedColumnFormula>
    </tableColumn>
    <tableColumn id="2" xr3:uid="{AE7EF7DE-C530-416C-97C7-09AD8346EDAF}" name="CTE Participation" dataDxfId="31"/>
    <tableColumn id="3" xr3:uid="{66B4A62F-9C67-4F1A-8DD4-A517FE1ED908}" name="HWHD CTE Participation" dataDxfId="30"/>
    <tableColumn id="4" xr3:uid="{20A0A475-F7DF-469E-89AD-FDFD1D4651F3}" name="CTE Concentration" dataDxfId="29"/>
    <tableColumn id="5" xr3:uid="{C3A3818E-30E6-4B0F-80CD-FA6E27655B39}" name="HWHD CTE Concentration" dataDxfId="28"/>
    <tableColumn id="8" xr3:uid="{06BE4814-2BE3-40E5-B045-4641CAE43C55}" name="WBL Completion" dataDxfId="27"/>
    <tableColumn id="9" xr3:uid="{E62BDB22-A15B-4B68-A141-46FBC1513761}" name="Advanced Coursework Completion" dataDxfId="26"/>
    <tableColumn id="10" xr3:uid="{5B8EC3CC-C7DE-4CC1-87E7-3CB58BDBB216}" name="Credential Completion" dataDxfId="25"/>
    <tableColumn id="11" xr3:uid="{FED372F4-0D67-4F42-BCEB-9802A109147C}" name="Placement" dataDxfId="24"/>
    <tableColumn id="12" xr3:uid="{B7B253B1-D28F-48AD-8467-5AA1CF5CCAAE}" name="HWHD Placement" dataDxfId="23"/>
    <tableColumn id="13" xr3:uid="{85CF763E-11D6-42F3-8D66-2BDEAE2529E6}" name="Wages" dataDxfId="22"/>
    <tableColumn id="14" xr3:uid="{CA3440A2-98EC-4A87-AB2E-F3476B683F5E}" name="HWHD Wages" dataDxfId="21"/>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168E3-C70B-0444-8FE0-1DD168DEBB43}">
  <dimension ref="B3:B41"/>
  <sheetViews>
    <sheetView showGridLines="0" tabSelected="1" zoomScaleNormal="100" workbookViewId="0">
      <selection activeCell="E18" sqref="E18"/>
    </sheetView>
  </sheetViews>
  <sheetFormatPr baseColWidth="10" defaultColWidth="8.83203125" defaultRowHeight="14" x14ac:dyDescent="0.15"/>
  <cols>
    <col min="1" max="1" width="3.83203125" style="148" customWidth="1"/>
    <col min="2" max="2" width="143.5" style="149" customWidth="1"/>
    <col min="3" max="16384" width="8.83203125" style="148"/>
  </cols>
  <sheetData>
    <row r="3" spans="2:2" ht="26" x14ac:dyDescent="0.15">
      <c r="B3" s="151" t="s">
        <v>98</v>
      </c>
    </row>
    <row r="5" spans="2:2" ht="16" customHeight="1" x14ac:dyDescent="0.15">
      <c r="B5" s="151"/>
    </row>
    <row r="6" spans="2:2" ht="19" x14ac:dyDescent="0.15">
      <c r="B6" s="152" t="s">
        <v>83</v>
      </c>
    </row>
    <row r="7" spans="2:2" x14ac:dyDescent="0.15">
      <c r="B7" s="147"/>
    </row>
    <row r="8" spans="2:2" ht="19" x14ac:dyDescent="0.15">
      <c r="B8" s="157" t="s">
        <v>79</v>
      </c>
    </row>
    <row r="9" spans="2:2" ht="19" x14ac:dyDescent="0.15">
      <c r="B9" s="157" t="s">
        <v>80</v>
      </c>
    </row>
    <row r="10" spans="2:2" ht="19" x14ac:dyDescent="0.15">
      <c r="B10" s="157" t="s">
        <v>70</v>
      </c>
    </row>
    <row r="11" spans="2:2" ht="19" x14ac:dyDescent="0.15">
      <c r="B11" s="157" t="s">
        <v>81</v>
      </c>
    </row>
    <row r="12" spans="2:2" ht="19" x14ac:dyDescent="0.15">
      <c r="B12" s="157" t="s">
        <v>71</v>
      </c>
    </row>
    <row r="13" spans="2:2" ht="19" x14ac:dyDescent="0.15">
      <c r="B13" s="157" t="s">
        <v>72</v>
      </c>
    </row>
    <row r="14" spans="2:2" ht="19" x14ac:dyDescent="0.15">
      <c r="B14" s="157" t="s">
        <v>78</v>
      </c>
    </row>
    <row r="15" spans="2:2" ht="19" x14ac:dyDescent="0.15">
      <c r="B15" s="157" t="s">
        <v>85</v>
      </c>
    </row>
    <row r="17" spans="2:2" ht="24" customHeight="1" x14ac:dyDescent="0.15">
      <c r="B17" s="158" t="s">
        <v>79</v>
      </c>
    </row>
    <row r="18" spans="2:2" ht="272" x14ac:dyDescent="0.15">
      <c r="B18" s="155" t="s">
        <v>119</v>
      </c>
    </row>
    <row r="20" spans="2:2" ht="25" customHeight="1" x14ac:dyDescent="0.15">
      <c r="B20" s="158" t="s">
        <v>80</v>
      </c>
    </row>
    <row r="21" spans="2:2" ht="68" x14ac:dyDescent="0.15">
      <c r="B21" s="155" t="s">
        <v>104</v>
      </c>
    </row>
    <row r="23" spans="2:2" ht="28" customHeight="1" x14ac:dyDescent="0.15">
      <c r="B23" s="158" t="s">
        <v>70</v>
      </c>
    </row>
    <row r="24" spans="2:2" ht="204" x14ac:dyDescent="0.15">
      <c r="B24" s="155" t="s">
        <v>105</v>
      </c>
    </row>
    <row r="26" spans="2:2" ht="29" customHeight="1" x14ac:dyDescent="0.15">
      <c r="B26" s="153" t="s">
        <v>82</v>
      </c>
    </row>
    <row r="27" spans="2:2" ht="272" x14ac:dyDescent="0.15">
      <c r="B27" s="155" t="s">
        <v>106</v>
      </c>
    </row>
    <row r="28" spans="2:2" x14ac:dyDescent="0.15">
      <c r="B28" s="150"/>
    </row>
    <row r="29" spans="2:2" ht="28" customHeight="1" x14ac:dyDescent="0.15">
      <c r="B29" s="159" t="s">
        <v>71</v>
      </c>
    </row>
    <row r="30" spans="2:2" ht="102" x14ac:dyDescent="0.15">
      <c r="B30" s="156" t="s">
        <v>107</v>
      </c>
    </row>
    <row r="31" spans="2:2" x14ac:dyDescent="0.15">
      <c r="B31" s="150"/>
    </row>
    <row r="32" spans="2:2" ht="26" customHeight="1" x14ac:dyDescent="0.15">
      <c r="B32" s="159" t="s">
        <v>72</v>
      </c>
    </row>
    <row r="33" spans="2:2" ht="187" x14ac:dyDescent="0.15">
      <c r="B33" s="156" t="s">
        <v>108</v>
      </c>
    </row>
    <row r="34" spans="2:2" x14ac:dyDescent="0.15">
      <c r="B34" s="150"/>
    </row>
    <row r="35" spans="2:2" ht="25" customHeight="1" x14ac:dyDescent="0.15">
      <c r="B35" s="159" t="s">
        <v>78</v>
      </c>
    </row>
    <row r="36" spans="2:2" ht="238" x14ac:dyDescent="0.15">
      <c r="B36" s="156" t="s">
        <v>109</v>
      </c>
    </row>
    <row r="37" spans="2:2" x14ac:dyDescent="0.15">
      <c r="B37" s="150"/>
    </row>
    <row r="38" spans="2:2" ht="31" customHeight="1" x14ac:dyDescent="0.15">
      <c r="B38" s="154" t="s">
        <v>84</v>
      </c>
    </row>
    <row r="39" spans="2:2" ht="74" customHeight="1" x14ac:dyDescent="0.15">
      <c r="B39" s="156" t="s">
        <v>110</v>
      </c>
    </row>
    <row r="40" spans="2:2" ht="74" customHeight="1" x14ac:dyDescent="0.15">
      <c r="B40" s="156" t="s">
        <v>111</v>
      </c>
    </row>
    <row r="41" spans="2:2" ht="78" customHeight="1" x14ac:dyDescent="0.15">
      <c r="B41" s="155" t="s">
        <v>112</v>
      </c>
    </row>
  </sheetData>
  <hyperlinks>
    <hyperlink ref="B8" location="'User Instructions'!B17" display="Introduction" xr:uid="{E9627886-5EC5-1A4B-ADF0-87C65770ADC5}"/>
    <hyperlink ref="B9" location="'User Instructions'!B20" display="Indicator Definitions" xr:uid="{11D214C8-E5F5-1A48-915D-9300D06A5880}"/>
    <hyperlink ref="B10" location="'User Instructions'!B23" display="Counts Entered by User" xr:uid="{E042C60D-7A78-3042-BC2B-609C2B221464}"/>
    <hyperlink ref="B11" location="'User Instructions'!B26" display="   Learner Groups" xr:uid="{CBCFE134-BDE9-1249-B0EB-C8CDC812C19C}"/>
    <hyperlink ref="B12" location="'User Instructions'!B29" display="Current Representation" xr:uid="{5E2A0E8C-F117-9A45-AC06-E310E08FC290}"/>
    <hyperlink ref="B13" location="'User Instructions'!B32" display="Goals Entered by User" xr:uid="{7AD8B283-2064-6F4A-B613-44A1B43E8ADA}"/>
    <hyperlink ref="B14" location="'User Instructions'!B35" display="Dashboard" xr:uid="{8094AA39-C509-394A-9400-779B709A25E4}"/>
    <hyperlink ref="B15" location="'User Instructions'!A38" display="Additional Calculations (hidden tabs)" xr:uid="{F8E5E7E6-F841-0F4F-A2C3-95C3F889C553}"/>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03"/>
  <sheetViews>
    <sheetView showGridLines="0" zoomScaleNormal="100" workbookViewId="0">
      <selection activeCell="F18" sqref="F18"/>
    </sheetView>
  </sheetViews>
  <sheetFormatPr baseColWidth="10" defaultColWidth="12.5" defaultRowHeight="15" customHeight="1" x14ac:dyDescent="0.15"/>
  <cols>
    <col min="1" max="1" width="40.33203125" style="7" customWidth="1"/>
    <col min="2" max="2" width="136.5" style="7" customWidth="1"/>
    <col min="3" max="4" width="8.5" style="7" customWidth="1"/>
    <col min="5" max="5" width="8.33203125" style="7" customWidth="1"/>
    <col min="6" max="26" width="8.5" style="7" customWidth="1"/>
    <col min="27" max="16384" width="12.5" style="7"/>
  </cols>
  <sheetData>
    <row r="1" spans="1:2" s="2" customFormat="1" ht="40" customHeight="1" x14ac:dyDescent="0.15">
      <c r="A1" s="125" t="s">
        <v>48</v>
      </c>
      <c r="B1" s="1"/>
    </row>
    <row r="2" spans="1:2" s="2" customFormat="1" ht="113" customHeight="1" x14ac:dyDescent="0.15">
      <c r="A2" s="178" t="s">
        <v>96</v>
      </c>
      <c r="B2" s="3"/>
    </row>
    <row r="3" spans="1:2" s="2" customFormat="1" ht="15" customHeight="1" x14ac:dyDescent="0.15">
      <c r="A3" s="4" t="s">
        <v>28</v>
      </c>
      <c r="B3" s="4" t="s">
        <v>69</v>
      </c>
    </row>
    <row r="4" spans="1:2" ht="34" customHeight="1" x14ac:dyDescent="0.15">
      <c r="A4" s="5" t="str">
        <f>Count_Tbl[[#This Row],[Column1]]</f>
        <v>CTE Participation</v>
      </c>
      <c r="B4" s="6" t="s">
        <v>1</v>
      </c>
    </row>
    <row r="5" spans="1:2" ht="34" customHeight="1" x14ac:dyDescent="0.15">
      <c r="A5" s="5" t="str">
        <f>Count_Tbl[[#This Row],[Column1]]</f>
        <v>HWHD CTE Participation</v>
      </c>
      <c r="B5" s="6" t="s">
        <v>113</v>
      </c>
    </row>
    <row r="6" spans="1:2" ht="34" customHeight="1" x14ac:dyDescent="0.15">
      <c r="A6" s="5" t="str">
        <f>Count_Tbl[[#This Row],[Column1]]</f>
        <v>CTE Concentration</v>
      </c>
      <c r="B6" s="6" t="s">
        <v>4</v>
      </c>
    </row>
    <row r="7" spans="1:2" ht="34" customHeight="1" x14ac:dyDescent="0.15">
      <c r="A7" s="5" t="str">
        <f>Count_Tbl[[#This Row],[Column1]]</f>
        <v>HWHD CTE Concentration</v>
      </c>
      <c r="B7" s="6" t="s">
        <v>114</v>
      </c>
    </row>
    <row r="8" spans="1:2" ht="34" customHeight="1" x14ac:dyDescent="0.15">
      <c r="A8" s="5" t="str">
        <f>Count_Tbl[[#This Row],[Column1]]</f>
        <v>WBL Completion</v>
      </c>
      <c r="B8" s="6" t="s">
        <v>87</v>
      </c>
    </row>
    <row r="9" spans="1:2" ht="40" customHeight="1" x14ac:dyDescent="0.15">
      <c r="A9" s="5" t="str">
        <f>Count_Tbl[[#This Row],[Column1]]</f>
        <v>Advanced Coursework Completion</v>
      </c>
      <c r="B9" s="6" t="s">
        <v>115</v>
      </c>
    </row>
    <row r="10" spans="1:2" ht="36" customHeight="1" x14ac:dyDescent="0.15">
      <c r="A10" s="5" t="str">
        <f>Count_Tbl[[#This Row],[Column1]]</f>
        <v>Credential Completion</v>
      </c>
      <c r="B10" s="6" t="s">
        <v>88</v>
      </c>
    </row>
    <row r="11" spans="1:2" ht="34" customHeight="1" x14ac:dyDescent="0.15">
      <c r="A11" s="5" t="str">
        <f>Count_Tbl[[#This Row],[Column1]]</f>
        <v>Placement</v>
      </c>
      <c r="B11" s="6" t="s">
        <v>89</v>
      </c>
    </row>
    <row r="12" spans="1:2" ht="34" customHeight="1" x14ac:dyDescent="0.15">
      <c r="A12" s="5" t="str">
        <f>Count_Tbl[[#This Row],[Column1]]</f>
        <v>HWHD Placement</v>
      </c>
      <c r="B12" s="6" t="s">
        <v>116</v>
      </c>
    </row>
    <row r="13" spans="1:2" ht="34" customHeight="1" x14ac:dyDescent="0.15">
      <c r="A13" s="5" t="str">
        <f>Count_Tbl[[#This Row],[Column1]]</f>
        <v>Wages</v>
      </c>
      <c r="B13" s="6" t="s">
        <v>90</v>
      </c>
    </row>
    <row r="14" spans="1:2" ht="34" customHeight="1" x14ac:dyDescent="0.15">
      <c r="A14" s="5" t="str">
        <f>Count_Tbl[[#This Row],[Column1]]</f>
        <v>HWHD Wages</v>
      </c>
      <c r="B14" s="6" t="s">
        <v>117</v>
      </c>
    </row>
    <row r="24" s="7" customFormat="1" ht="15.75" customHeight="1" x14ac:dyDescent="0.15"/>
    <row r="25" s="7" customFormat="1" ht="15.75" customHeight="1" x14ac:dyDescent="0.15"/>
    <row r="26" s="7" customFormat="1" ht="15.75" customHeight="1" x14ac:dyDescent="0.15"/>
    <row r="27" s="7" customFormat="1" ht="15.75" customHeight="1" x14ac:dyDescent="0.15"/>
    <row r="28" s="7" customFormat="1" ht="15.75" customHeight="1" x14ac:dyDescent="0.15"/>
    <row r="29" s="7" customFormat="1" ht="15.75" customHeight="1" x14ac:dyDescent="0.15"/>
    <row r="30" s="7" customFormat="1" ht="15.75" customHeight="1" x14ac:dyDescent="0.15"/>
    <row r="31" s="7" customFormat="1" ht="15.75" customHeight="1" x14ac:dyDescent="0.15"/>
    <row r="32" s="7" customFormat="1" ht="15.75" customHeight="1" x14ac:dyDescent="0.15"/>
    <row r="33" s="7" customFormat="1" ht="15.75" customHeight="1" x14ac:dyDescent="0.15"/>
    <row r="34" s="7" customFormat="1" ht="15.75" customHeight="1" x14ac:dyDescent="0.15"/>
    <row r="35" s="7" customFormat="1" ht="15.75" customHeight="1" x14ac:dyDescent="0.15"/>
    <row r="36" s="7" customFormat="1" ht="15.75" customHeight="1" x14ac:dyDescent="0.15"/>
    <row r="37" s="7" customFormat="1" ht="15.75" customHeight="1" x14ac:dyDescent="0.15"/>
    <row r="38" s="7" customFormat="1" ht="15.75" customHeight="1" x14ac:dyDescent="0.15"/>
    <row r="39" s="7" customFormat="1" ht="15.75" customHeight="1" x14ac:dyDescent="0.15"/>
    <row r="40" s="7" customFormat="1" ht="15.75" customHeight="1" x14ac:dyDescent="0.15"/>
    <row r="41" s="7" customFormat="1" ht="15.75" customHeight="1" x14ac:dyDescent="0.15"/>
    <row r="42" s="7" customFormat="1" ht="15.75" customHeight="1" x14ac:dyDescent="0.15"/>
    <row r="43" s="7" customFormat="1" ht="15.75" customHeight="1" x14ac:dyDescent="0.15"/>
    <row r="44" s="7" customFormat="1" ht="15.75" customHeight="1" x14ac:dyDescent="0.15"/>
    <row r="45" s="7" customFormat="1" ht="15.75" customHeight="1" x14ac:dyDescent="0.15"/>
    <row r="46" s="7" customFormat="1" ht="15.75" customHeight="1" x14ac:dyDescent="0.15"/>
    <row r="47" s="7" customFormat="1" ht="15.75" customHeight="1" x14ac:dyDescent="0.15"/>
    <row r="48" s="7" customFormat="1" ht="15.75" customHeight="1" x14ac:dyDescent="0.15"/>
    <row r="49" s="7" customFormat="1" ht="15.75" customHeight="1" x14ac:dyDescent="0.15"/>
    <row r="50" s="7" customFormat="1" ht="15.75" customHeight="1" x14ac:dyDescent="0.15"/>
    <row r="51" s="7" customFormat="1" ht="15.75" customHeight="1" x14ac:dyDescent="0.15"/>
    <row r="52" s="7" customFormat="1" ht="15.75" customHeight="1" x14ac:dyDescent="0.15"/>
    <row r="53" s="7" customFormat="1" ht="15.75" customHeight="1" x14ac:dyDescent="0.15"/>
    <row r="54" s="7" customFormat="1" ht="15.75" customHeight="1" x14ac:dyDescent="0.15"/>
    <row r="55" s="7" customFormat="1" ht="15.75" customHeight="1" x14ac:dyDescent="0.15"/>
    <row r="56" s="7" customFormat="1" ht="15.75" customHeight="1" x14ac:dyDescent="0.15"/>
    <row r="57" s="7" customFormat="1" ht="15.75" customHeight="1" x14ac:dyDescent="0.15"/>
    <row r="58" s="7" customFormat="1" ht="15.75" customHeight="1" x14ac:dyDescent="0.15"/>
    <row r="59" s="7" customFormat="1" ht="15.75" customHeight="1" x14ac:dyDescent="0.15"/>
    <row r="60" s="7" customFormat="1" ht="15.75" customHeight="1" x14ac:dyDescent="0.15"/>
    <row r="61" s="7" customFormat="1" ht="15.75" customHeight="1" x14ac:dyDescent="0.15"/>
    <row r="62" s="7" customFormat="1" ht="15.75" customHeight="1" x14ac:dyDescent="0.15"/>
    <row r="63" s="7" customFormat="1" ht="15.75" customHeight="1" x14ac:dyDescent="0.15"/>
    <row r="64" s="7" customFormat="1" ht="15.75" customHeight="1" x14ac:dyDescent="0.15"/>
    <row r="65" s="7" customFormat="1" ht="15.75" customHeight="1" x14ac:dyDescent="0.15"/>
    <row r="66" s="7" customFormat="1" ht="15.75" customHeight="1" x14ac:dyDescent="0.15"/>
    <row r="67" s="7" customFormat="1" ht="15.75" customHeight="1" x14ac:dyDescent="0.15"/>
    <row r="68" s="7" customFormat="1" ht="15.75" customHeight="1" x14ac:dyDescent="0.15"/>
    <row r="69" s="7" customFormat="1" ht="15.75" customHeight="1" x14ac:dyDescent="0.15"/>
    <row r="70" s="7" customFormat="1" ht="15.75" customHeight="1" x14ac:dyDescent="0.15"/>
    <row r="71" s="7" customFormat="1" ht="15.75" customHeight="1" x14ac:dyDescent="0.15"/>
    <row r="72" s="7" customFormat="1" ht="15.75" customHeight="1" x14ac:dyDescent="0.15"/>
    <row r="73" s="7" customFormat="1" ht="15.75" customHeight="1" x14ac:dyDescent="0.15"/>
    <row r="74" s="7" customFormat="1" ht="15.75" customHeight="1" x14ac:dyDescent="0.15"/>
    <row r="75" s="7" customFormat="1" ht="15.75" customHeight="1" x14ac:dyDescent="0.15"/>
    <row r="76" s="7" customFormat="1" ht="15.75" customHeight="1" x14ac:dyDescent="0.15"/>
    <row r="77" s="7" customFormat="1" ht="15.75" customHeight="1" x14ac:dyDescent="0.15"/>
    <row r="78" s="7" customFormat="1" ht="15.75" customHeight="1" x14ac:dyDescent="0.15"/>
    <row r="79" s="7" customFormat="1" ht="15.75" customHeight="1" x14ac:dyDescent="0.15"/>
    <row r="80" s="7" customFormat="1" ht="15.75" customHeight="1" x14ac:dyDescent="0.15"/>
    <row r="81" s="7" customFormat="1" ht="15.75" customHeight="1" x14ac:dyDescent="0.15"/>
    <row r="82" s="7" customFormat="1" ht="15.75" customHeight="1" x14ac:dyDescent="0.15"/>
    <row r="83" s="7" customFormat="1" ht="15.75" customHeight="1" x14ac:dyDescent="0.15"/>
    <row r="84" s="7" customFormat="1" ht="15.75" customHeight="1" x14ac:dyDescent="0.15"/>
    <row r="85" s="7" customFormat="1" ht="15.75" customHeight="1" x14ac:dyDescent="0.15"/>
    <row r="86" s="7" customFormat="1" ht="15.75" customHeight="1" x14ac:dyDescent="0.15"/>
    <row r="87" s="7" customFormat="1" ht="15.75" customHeight="1" x14ac:dyDescent="0.15"/>
    <row r="88" s="7" customFormat="1" ht="15.75" customHeight="1" x14ac:dyDescent="0.15"/>
    <row r="89" s="7" customFormat="1" ht="15.75" customHeight="1" x14ac:dyDescent="0.15"/>
    <row r="90" s="7" customFormat="1" ht="15.75" customHeight="1" x14ac:dyDescent="0.15"/>
    <row r="91" s="7" customFormat="1" ht="15.75" customHeight="1" x14ac:dyDescent="0.15"/>
    <row r="92" s="7" customFormat="1" ht="15.75" customHeight="1" x14ac:dyDescent="0.15"/>
    <row r="93" s="7" customFormat="1" ht="15.75" customHeight="1" x14ac:dyDescent="0.15"/>
    <row r="94" s="7" customFormat="1" ht="15.75" customHeight="1" x14ac:dyDescent="0.15"/>
    <row r="95" s="7" customFormat="1" ht="15.75" customHeight="1" x14ac:dyDescent="0.15"/>
    <row r="96" s="7" customFormat="1" ht="15.75" customHeight="1" x14ac:dyDescent="0.15"/>
    <row r="97" s="7" customFormat="1" ht="15.75" customHeight="1" x14ac:dyDescent="0.15"/>
    <row r="98" s="7" customFormat="1" ht="15.75" customHeight="1" x14ac:dyDescent="0.15"/>
    <row r="99" s="7" customFormat="1" ht="15.75" customHeight="1" x14ac:dyDescent="0.15"/>
    <row r="100" s="7" customFormat="1" ht="15.75" customHeight="1" x14ac:dyDescent="0.15"/>
    <row r="101" s="7" customFormat="1" ht="15.75" customHeight="1" x14ac:dyDescent="0.15"/>
    <row r="102" s="7" customFormat="1" ht="15.75" customHeight="1" x14ac:dyDescent="0.15"/>
    <row r="103" s="7" customFormat="1" ht="15.75" customHeight="1" x14ac:dyDescent="0.15"/>
    <row r="104" s="7" customFormat="1" ht="15.75" customHeight="1" x14ac:dyDescent="0.15"/>
    <row r="105" s="7" customFormat="1" ht="15.75" customHeight="1" x14ac:dyDescent="0.15"/>
    <row r="106" s="7" customFormat="1" ht="15.75" customHeight="1" x14ac:dyDescent="0.15"/>
    <row r="107" s="7" customFormat="1" ht="15.75" customHeight="1" x14ac:dyDescent="0.15"/>
    <row r="108" s="7" customFormat="1" ht="15.75" customHeight="1" x14ac:dyDescent="0.15"/>
    <row r="109" s="7" customFormat="1" ht="15.75" customHeight="1" x14ac:dyDescent="0.15"/>
    <row r="110" s="7" customFormat="1" ht="15.75" customHeight="1" x14ac:dyDescent="0.15"/>
    <row r="111" s="7" customFormat="1" ht="15.75" customHeight="1" x14ac:dyDescent="0.15"/>
    <row r="112" s="7" customFormat="1" ht="15.75" customHeight="1" x14ac:dyDescent="0.15"/>
    <row r="113" s="7" customFormat="1" ht="15.75" customHeight="1" x14ac:dyDescent="0.15"/>
    <row r="114" s="7" customFormat="1" ht="15.75" customHeight="1" x14ac:dyDescent="0.15"/>
    <row r="115" s="7" customFormat="1" ht="15.75" customHeight="1" x14ac:dyDescent="0.15"/>
    <row r="116" s="7" customFormat="1" ht="15.75" customHeight="1" x14ac:dyDescent="0.15"/>
    <row r="117" s="7" customFormat="1" ht="15.75" customHeight="1" x14ac:dyDescent="0.15"/>
    <row r="118" s="7" customFormat="1" ht="15.75" customHeight="1" x14ac:dyDescent="0.15"/>
    <row r="119" s="7" customFormat="1" ht="15.75" customHeight="1" x14ac:dyDescent="0.15"/>
    <row r="120" s="7" customFormat="1" ht="15.75" customHeight="1" x14ac:dyDescent="0.15"/>
    <row r="121" s="7" customFormat="1" ht="15.75" customHeight="1" x14ac:dyDescent="0.15"/>
    <row r="122" s="7" customFormat="1" ht="15.75" customHeight="1" x14ac:dyDescent="0.15"/>
    <row r="123" s="7" customFormat="1" ht="15.75" customHeight="1" x14ac:dyDescent="0.15"/>
    <row r="124" s="7" customFormat="1" ht="15.75" customHeight="1" x14ac:dyDescent="0.15"/>
    <row r="125" s="7" customFormat="1" ht="15.75" customHeight="1" x14ac:dyDescent="0.15"/>
    <row r="126" s="7" customFormat="1" ht="15.75" customHeight="1" x14ac:dyDescent="0.15"/>
    <row r="127" s="7" customFormat="1" ht="15.75" customHeight="1" x14ac:dyDescent="0.15"/>
    <row r="128" s="7" customFormat="1" ht="15.75" customHeight="1" x14ac:dyDescent="0.15"/>
    <row r="129" s="7" customFormat="1" ht="15.75" customHeight="1" x14ac:dyDescent="0.15"/>
    <row r="130" s="7" customFormat="1" ht="15.75" customHeight="1" x14ac:dyDescent="0.15"/>
    <row r="131" s="7" customFormat="1" ht="15.75" customHeight="1" x14ac:dyDescent="0.15"/>
    <row r="132" s="7" customFormat="1" ht="15.75" customHeight="1" x14ac:dyDescent="0.15"/>
    <row r="133" s="7" customFormat="1" ht="15.75" customHeight="1" x14ac:dyDescent="0.15"/>
    <row r="134" s="7" customFormat="1" ht="15.75" customHeight="1" x14ac:dyDescent="0.15"/>
    <row r="135" s="7" customFormat="1" ht="15.75" customHeight="1" x14ac:dyDescent="0.15"/>
    <row r="136" s="7" customFormat="1" ht="15.75" customHeight="1" x14ac:dyDescent="0.15"/>
    <row r="137" s="7" customFormat="1" ht="15.75" customHeight="1" x14ac:dyDescent="0.15"/>
    <row r="138" s="7" customFormat="1" ht="15.75" customHeight="1" x14ac:dyDescent="0.15"/>
    <row r="139" s="7" customFormat="1" ht="15.75" customHeight="1" x14ac:dyDescent="0.15"/>
    <row r="140" s="7" customFormat="1" ht="15.75" customHeight="1" x14ac:dyDescent="0.15"/>
    <row r="141" s="7" customFormat="1" ht="15.75" customHeight="1" x14ac:dyDescent="0.15"/>
    <row r="142" s="7" customFormat="1" ht="15.75" customHeight="1" x14ac:dyDescent="0.15"/>
    <row r="143" s="7" customFormat="1" ht="15.75" customHeight="1" x14ac:dyDescent="0.15"/>
    <row r="144" s="7" customFormat="1" ht="15.75" customHeight="1" x14ac:dyDescent="0.15"/>
    <row r="145" s="7" customFormat="1" ht="15.75" customHeight="1" x14ac:dyDescent="0.15"/>
    <row r="146" s="7" customFormat="1" ht="15.75" customHeight="1" x14ac:dyDescent="0.15"/>
    <row r="147" s="7" customFormat="1" ht="15.75" customHeight="1" x14ac:dyDescent="0.15"/>
    <row r="148" s="7" customFormat="1" ht="15.75" customHeight="1" x14ac:dyDescent="0.15"/>
    <row r="149" s="7" customFormat="1" ht="15.75" customHeight="1" x14ac:dyDescent="0.15"/>
    <row r="150" s="7" customFormat="1" ht="15.75" customHeight="1" x14ac:dyDescent="0.15"/>
    <row r="151" s="7" customFormat="1" ht="15.75" customHeight="1" x14ac:dyDescent="0.15"/>
    <row r="152" s="7" customFormat="1" ht="15.75" customHeight="1" x14ac:dyDescent="0.15"/>
    <row r="153" s="7" customFormat="1" ht="15.75" customHeight="1" x14ac:dyDescent="0.15"/>
    <row r="154" s="7" customFormat="1" ht="15.75" customHeight="1" x14ac:dyDescent="0.15"/>
    <row r="155" s="7" customFormat="1" ht="15.75" customHeight="1" x14ac:dyDescent="0.15"/>
    <row r="156" s="7" customFormat="1" ht="15.75" customHeight="1" x14ac:dyDescent="0.15"/>
    <row r="157" s="7" customFormat="1" ht="15.75" customHeight="1" x14ac:dyDescent="0.15"/>
    <row r="158" s="7" customFormat="1" ht="15.75" customHeight="1" x14ac:dyDescent="0.15"/>
    <row r="159" s="7" customFormat="1" ht="15.75" customHeight="1" x14ac:dyDescent="0.15"/>
    <row r="160" s="7" customFormat="1" ht="15.75" customHeight="1" x14ac:dyDescent="0.15"/>
    <row r="161" s="7" customFormat="1" ht="15.75" customHeight="1" x14ac:dyDescent="0.15"/>
    <row r="162" s="7" customFormat="1" ht="15.75" customHeight="1" x14ac:dyDescent="0.15"/>
    <row r="163" s="7" customFormat="1" ht="15.75" customHeight="1" x14ac:dyDescent="0.15"/>
    <row r="164" s="7" customFormat="1" ht="15.75" customHeight="1" x14ac:dyDescent="0.15"/>
    <row r="165" s="7" customFormat="1" ht="15.75" customHeight="1" x14ac:dyDescent="0.15"/>
    <row r="166" s="7" customFormat="1" ht="15.75" customHeight="1" x14ac:dyDescent="0.15"/>
    <row r="167" s="7" customFormat="1" ht="15.75" customHeight="1" x14ac:dyDescent="0.15"/>
    <row r="168" s="7" customFormat="1" ht="15.75" customHeight="1" x14ac:dyDescent="0.15"/>
    <row r="169" s="7" customFormat="1" ht="15.75" customHeight="1" x14ac:dyDescent="0.15"/>
    <row r="170" s="7" customFormat="1" ht="15.75" customHeight="1" x14ac:dyDescent="0.15"/>
    <row r="171" s="7" customFormat="1" ht="15.75" customHeight="1" x14ac:dyDescent="0.15"/>
    <row r="172" s="7" customFormat="1" ht="15.75" customHeight="1" x14ac:dyDescent="0.15"/>
    <row r="173" s="7" customFormat="1" ht="15.75" customHeight="1" x14ac:dyDescent="0.15"/>
    <row r="174" s="7" customFormat="1" ht="15.75" customHeight="1" x14ac:dyDescent="0.15"/>
    <row r="175" s="7" customFormat="1" ht="15.75" customHeight="1" x14ac:dyDescent="0.15"/>
    <row r="176" s="7" customFormat="1" ht="15.75" customHeight="1" x14ac:dyDescent="0.15"/>
    <row r="177" s="7" customFormat="1" ht="15.75" customHeight="1" x14ac:dyDescent="0.15"/>
    <row r="178" s="7" customFormat="1" ht="15.75" customHeight="1" x14ac:dyDescent="0.15"/>
    <row r="179" s="7" customFormat="1" ht="15.75" customHeight="1" x14ac:dyDescent="0.15"/>
    <row r="180" s="7" customFormat="1" ht="15.75" customHeight="1" x14ac:dyDescent="0.15"/>
    <row r="181" s="7" customFormat="1" ht="15.75" customHeight="1" x14ac:dyDescent="0.15"/>
    <row r="182" s="7" customFormat="1" ht="15.75" customHeight="1" x14ac:dyDescent="0.15"/>
    <row r="183" s="7" customFormat="1" ht="15.75" customHeight="1" x14ac:dyDescent="0.15"/>
    <row r="184" s="7" customFormat="1" ht="15.75" customHeight="1" x14ac:dyDescent="0.15"/>
    <row r="185" s="7" customFormat="1" ht="15.75" customHeight="1" x14ac:dyDescent="0.15"/>
    <row r="186" s="7" customFormat="1" ht="15.75" customHeight="1" x14ac:dyDescent="0.15"/>
    <row r="187" s="7" customFormat="1" ht="15.75" customHeight="1" x14ac:dyDescent="0.15"/>
    <row r="188" s="7" customFormat="1" ht="15.75" customHeight="1" x14ac:dyDescent="0.15"/>
    <row r="189" s="7" customFormat="1" ht="15.75" customHeight="1" x14ac:dyDescent="0.15"/>
    <row r="190" s="7" customFormat="1" ht="15.75" customHeight="1" x14ac:dyDescent="0.15"/>
    <row r="191" s="7" customFormat="1" ht="15.75" customHeight="1" x14ac:dyDescent="0.15"/>
    <row r="192" s="7" customFormat="1" ht="15.75" customHeight="1" x14ac:dyDescent="0.15"/>
    <row r="193" s="7" customFormat="1" ht="15.75" customHeight="1" x14ac:dyDescent="0.15"/>
    <row r="194" s="7" customFormat="1" ht="15.75" customHeight="1" x14ac:dyDescent="0.15"/>
    <row r="195" s="7" customFormat="1" ht="15.75" customHeight="1" x14ac:dyDescent="0.15"/>
    <row r="196" s="7" customFormat="1" ht="15.75" customHeight="1" x14ac:dyDescent="0.15"/>
    <row r="197" s="7" customFormat="1" ht="15.75" customHeight="1" x14ac:dyDescent="0.15"/>
    <row r="198" s="7" customFormat="1" ht="15.75" customHeight="1" x14ac:dyDescent="0.15"/>
    <row r="199" s="7" customFormat="1" ht="15.75" customHeight="1" x14ac:dyDescent="0.15"/>
    <row r="200" s="7" customFormat="1" ht="15.75" customHeight="1" x14ac:dyDescent="0.15"/>
    <row r="201" s="7" customFormat="1" ht="15.75" customHeight="1" x14ac:dyDescent="0.15"/>
    <row r="202" s="7" customFormat="1" ht="15.75" customHeight="1" x14ac:dyDescent="0.15"/>
    <row r="203" s="7" customFormat="1" ht="15.75" customHeight="1" x14ac:dyDescent="0.15"/>
    <row r="204" s="7" customFormat="1" ht="15.75" customHeight="1" x14ac:dyDescent="0.15"/>
    <row r="205" s="7" customFormat="1" ht="15.75" customHeight="1" x14ac:dyDescent="0.15"/>
    <row r="206" s="7" customFormat="1" ht="15.75" customHeight="1" x14ac:dyDescent="0.15"/>
    <row r="207" s="7" customFormat="1" ht="15.75" customHeight="1" x14ac:dyDescent="0.15"/>
    <row r="208" s="7" customFormat="1" ht="15.75" customHeight="1" x14ac:dyDescent="0.15"/>
    <row r="209" s="7" customFormat="1" ht="15.75" customHeight="1" x14ac:dyDescent="0.15"/>
    <row r="210" s="7" customFormat="1" ht="15.75" customHeight="1" x14ac:dyDescent="0.15"/>
    <row r="211" s="7" customFormat="1" ht="15.75" customHeight="1" x14ac:dyDescent="0.15"/>
    <row r="212" s="7" customFormat="1" ht="15.75" customHeight="1" x14ac:dyDescent="0.15"/>
    <row r="213" s="7" customFormat="1" ht="15.75" customHeight="1" x14ac:dyDescent="0.15"/>
    <row r="214" s="7" customFormat="1" ht="15.75" customHeight="1" x14ac:dyDescent="0.15"/>
    <row r="215" s="7" customFormat="1" ht="15.75" customHeight="1" x14ac:dyDescent="0.15"/>
    <row r="216" s="7" customFormat="1" ht="15.75" customHeight="1" x14ac:dyDescent="0.15"/>
    <row r="217" s="7" customFormat="1" ht="15.75" customHeight="1" x14ac:dyDescent="0.15"/>
    <row r="218" s="7" customFormat="1" ht="15.75" customHeight="1" x14ac:dyDescent="0.15"/>
    <row r="219" s="7" customFormat="1" ht="15.75" customHeight="1" x14ac:dyDescent="0.15"/>
    <row r="220" s="7" customFormat="1" ht="15.75" customHeight="1" x14ac:dyDescent="0.15"/>
    <row r="221" s="7" customFormat="1" ht="15.75" customHeight="1" x14ac:dyDescent="0.15"/>
    <row r="222" s="7" customFormat="1" ht="15.75" customHeight="1" x14ac:dyDescent="0.15"/>
    <row r="223" s="7" customFormat="1" ht="15.75" customHeight="1" x14ac:dyDescent="0.15"/>
    <row r="224" s="7" customFormat="1" ht="15.75" customHeight="1" x14ac:dyDescent="0.15"/>
    <row r="225" s="7" customFormat="1" ht="15.75" customHeight="1" x14ac:dyDescent="0.15"/>
    <row r="226" s="7" customFormat="1" ht="15.75" customHeight="1" x14ac:dyDescent="0.15"/>
    <row r="227" s="7" customFormat="1" ht="15.75" customHeight="1" x14ac:dyDescent="0.15"/>
    <row r="228" s="7" customFormat="1" ht="15.75" customHeight="1" x14ac:dyDescent="0.15"/>
    <row r="229" s="7" customFormat="1" ht="15.75" customHeight="1" x14ac:dyDescent="0.15"/>
    <row r="230" s="7" customFormat="1" ht="15.75" customHeight="1" x14ac:dyDescent="0.15"/>
    <row r="231" s="7" customFormat="1" ht="15.75" customHeight="1" x14ac:dyDescent="0.15"/>
    <row r="232" s="7" customFormat="1" ht="15.75" customHeight="1" x14ac:dyDescent="0.15"/>
    <row r="233" s="7" customFormat="1" ht="15.75" customHeight="1" x14ac:dyDescent="0.15"/>
    <row r="234" s="7" customFormat="1" ht="15.75" customHeight="1" x14ac:dyDescent="0.15"/>
    <row r="235" s="7" customFormat="1" ht="15.75" customHeight="1" x14ac:dyDescent="0.15"/>
    <row r="236" s="7" customFormat="1" ht="15.75" customHeight="1" x14ac:dyDescent="0.15"/>
    <row r="237" s="7" customFormat="1" ht="15.75" customHeight="1" x14ac:dyDescent="0.15"/>
    <row r="238" s="7" customFormat="1" ht="15.75" customHeight="1" x14ac:dyDescent="0.15"/>
    <row r="239" s="7" customFormat="1" ht="15.75" customHeight="1" x14ac:dyDescent="0.15"/>
    <row r="240" s="7" customFormat="1" ht="15.75" customHeight="1" x14ac:dyDescent="0.15"/>
    <row r="241" s="7" customFormat="1" ht="15.75" customHeight="1" x14ac:dyDescent="0.15"/>
    <row r="242" s="7" customFormat="1" ht="15.75" customHeight="1" x14ac:dyDescent="0.15"/>
    <row r="243" s="7" customFormat="1" ht="15.75" customHeight="1" x14ac:dyDescent="0.15"/>
    <row r="244" s="7" customFormat="1" ht="15.75" customHeight="1" x14ac:dyDescent="0.15"/>
    <row r="245" s="7" customFormat="1" ht="15.75" customHeight="1" x14ac:dyDescent="0.15"/>
    <row r="246" s="7" customFormat="1" ht="15.75" customHeight="1" x14ac:dyDescent="0.15"/>
    <row r="247" s="7" customFormat="1" ht="15.75" customHeight="1" x14ac:dyDescent="0.15"/>
    <row r="248" s="7" customFormat="1" ht="15.75" customHeight="1" x14ac:dyDescent="0.15"/>
    <row r="249" s="7" customFormat="1" ht="15.75" customHeight="1" x14ac:dyDescent="0.15"/>
    <row r="250" s="7" customFormat="1" ht="15.75" customHeight="1" x14ac:dyDescent="0.15"/>
    <row r="251" s="7" customFormat="1" ht="15.75" customHeight="1" x14ac:dyDescent="0.15"/>
    <row r="252" s="7" customFormat="1" ht="15.75" customHeight="1" x14ac:dyDescent="0.15"/>
    <row r="253" s="7" customFormat="1" ht="15.75" customHeight="1" x14ac:dyDescent="0.15"/>
    <row r="254" s="7" customFormat="1" ht="15.75" customHeight="1" x14ac:dyDescent="0.15"/>
    <row r="255" s="7" customFormat="1" ht="15.75" customHeight="1" x14ac:dyDescent="0.15"/>
    <row r="256" s="7" customFormat="1" ht="15.75" customHeight="1" x14ac:dyDescent="0.15"/>
    <row r="257" s="7" customFormat="1" ht="15.75" customHeight="1" x14ac:dyDescent="0.15"/>
    <row r="258" s="7" customFormat="1" ht="15.75" customHeight="1" x14ac:dyDescent="0.15"/>
    <row r="259" s="7" customFormat="1" ht="15.75" customHeight="1" x14ac:dyDescent="0.15"/>
    <row r="260" s="7" customFormat="1" ht="15.75" customHeight="1" x14ac:dyDescent="0.15"/>
    <row r="261" s="7" customFormat="1" ht="15.75" customHeight="1" x14ac:dyDescent="0.15"/>
    <row r="262" s="7" customFormat="1" ht="15.75" customHeight="1" x14ac:dyDescent="0.15"/>
    <row r="263" s="7" customFormat="1" ht="15.75" customHeight="1" x14ac:dyDescent="0.15"/>
    <row r="264" s="7" customFormat="1" ht="15.75" customHeight="1" x14ac:dyDescent="0.15"/>
    <row r="265" s="7" customFormat="1" ht="15.75" customHeight="1" x14ac:dyDescent="0.15"/>
    <row r="266" s="7" customFormat="1" ht="15.75" customHeight="1" x14ac:dyDescent="0.15"/>
    <row r="267" s="7" customFormat="1" ht="15.75" customHeight="1" x14ac:dyDescent="0.15"/>
    <row r="268" s="7" customFormat="1" ht="15.75" customHeight="1" x14ac:dyDescent="0.15"/>
    <row r="269" s="7" customFormat="1" ht="15.75" customHeight="1" x14ac:dyDescent="0.15"/>
    <row r="270" s="7" customFormat="1" ht="15.75" customHeight="1" x14ac:dyDescent="0.15"/>
    <row r="271" s="7" customFormat="1" ht="15.75" customHeight="1" x14ac:dyDescent="0.15"/>
    <row r="272" s="7" customFormat="1" ht="15.75" customHeight="1" x14ac:dyDescent="0.15"/>
    <row r="273" s="7" customFormat="1" ht="15.75" customHeight="1" x14ac:dyDescent="0.15"/>
    <row r="274" s="7" customFormat="1" ht="15.75" customHeight="1" x14ac:dyDescent="0.15"/>
    <row r="275" s="7" customFormat="1" ht="15.75" customHeight="1" x14ac:dyDescent="0.15"/>
    <row r="276" s="7" customFormat="1" ht="15.75" customHeight="1" x14ac:dyDescent="0.15"/>
    <row r="277" s="7" customFormat="1" ht="15.75" customHeight="1" x14ac:dyDescent="0.15"/>
    <row r="278" s="7" customFormat="1" ht="15.75" customHeight="1" x14ac:dyDescent="0.15"/>
    <row r="279" s="7" customFormat="1" ht="15.75" customHeight="1" x14ac:dyDescent="0.15"/>
    <row r="280" s="7" customFormat="1" ht="15.75" customHeight="1" x14ac:dyDescent="0.15"/>
    <row r="281" s="7" customFormat="1" ht="15.75" customHeight="1" x14ac:dyDescent="0.15"/>
    <row r="282" s="7" customFormat="1" ht="15.75" customHeight="1" x14ac:dyDescent="0.15"/>
    <row r="283" s="7" customFormat="1" ht="15.75" customHeight="1" x14ac:dyDescent="0.15"/>
    <row r="284" s="7" customFormat="1" ht="15.75" customHeight="1" x14ac:dyDescent="0.15"/>
    <row r="285" s="7" customFormat="1" ht="15.75" customHeight="1" x14ac:dyDescent="0.15"/>
    <row r="286" s="7" customFormat="1" ht="15.75" customHeight="1" x14ac:dyDescent="0.15"/>
    <row r="287" s="7" customFormat="1" ht="15.75" customHeight="1" x14ac:dyDescent="0.15"/>
    <row r="288" s="7" customFormat="1" ht="15.75" customHeight="1" x14ac:dyDescent="0.15"/>
    <row r="289" s="7" customFormat="1" ht="15.75" customHeight="1" x14ac:dyDescent="0.15"/>
    <row r="290" s="7" customFormat="1" ht="15.75" customHeight="1" x14ac:dyDescent="0.15"/>
    <row r="291" s="7" customFormat="1" ht="15.75" customHeight="1" x14ac:dyDescent="0.15"/>
    <row r="292" s="7" customFormat="1" ht="15.75" customHeight="1" x14ac:dyDescent="0.15"/>
    <row r="293" s="7" customFormat="1" ht="15.75" customHeight="1" x14ac:dyDescent="0.15"/>
    <row r="294" s="7" customFormat="1" ht="15.75" customHeight="1" x14ac:dyDescent="0.15"/>
    <row r="295" s="7" customFormat="1" ht="15.75" customHeight="1" x14ac:dyDescent="0.15"/>
    <row r="296" s="7" customFormat="1" ht="15.75" customHeight="1" x14ac:dyDescent="0.15"/>
    <row r="297" s="7" customFormat="1" ht="15.75" customHeight="1" x14ac:dyDescent="0.15"/>
    <row r="298" s="7" customFormat="1" ht="15.75" customHeight="1" x14ac:dyDescent="0.15"/>
    <row r="299" s="7" customFormat="1" ht="15.75" customHeight="1" x14ac:dyDescent="0.15"/>
    <row r="300" s="7" customFormat="1" ht="15.75" customHeight="1" x14ac:dyDescent="0.15"/>
    <row r="301" s="7" customFormat="1" ht="15.75" customHeight="1" x14ac:dyDescent="0.15"/>
    <row r="302" s="7" customFormat="1" ht="15.75" customHeight="1" x14ac:dyDescent="0.15"/>
    <row r="303" s="7" customFormat="1" ht="15.75" customHeight="1" x14ac:dyDescent="0.15"/>
    <row r="304" s="7" customFormat="1" ht="15.75" customHeight="1" x14ac:dyDescent="0.15"/>
    <row r="305" s="7" customFormat="1" ht="15.75" customHeight="1" x14ac:dyDescent="0.15"/>
    <row r="306" s="7" customFormat="1" ht="15.75" customHeight="1" x14ac:dyDescent="0.15"/>
    <row r="307" s="7" customFormat="1" ht="15.75" customHeight="1" x14ac:dyDescent="0.15"/>
    <row r="308" s="7" customFormat="1" ht="15.75" customHeight="1" x14ac:dyDescent="0.15"/>
    <row r="309" s="7" customFormat="1" ht="15.75" customHeight="1" x14ac:dyDescent="0.15"/>
    <row r="310" s="7" customFormat="1" ht="15.75" customHeight="1" x14ac:dyDescent="0.15"/>
    <row r="311" s="7" customFormat="1" ht="15.75" customHeight="1" x14ac:dyDescent="0.15"/>
    <row r="312" s="7" customFormat="1" ht="15.75" customHeight="1" x14ac:dyDescent="0.15"/>
    <row r="313" s="7" customFormat="1" ht="15.75" customHeight="1" x14ac:dyDescent="0.15"/>
    <row r="314" s="7" customFormat="1" ht="15.75" customHeight="1" x14ac:dyDescent="0.15"/>
    <row r="315" s="7" customFormat="1" ht="15.75" customHeight="1" x14ac:dyDescent="0.15"/>
    <row r="316" s="7" customFormat="1" ht="15.75" customHeight="1" x14ac:dyDescent="0.15"/>
    <row r="317" s="7" customFormat="1" ht="15.75" customHeight="1" x14ac:dyDescent="0.15"/>
    <row r="318" s="7" customFormat="1" ht="15.75" customHeight="1" x14ac:dyDescent="0.15"/>
    <row r="319" s="7" customFormat="1" ht="15.75" customHeight="1" x14ac:dyDescent="0.15"/>
    <row r="320" s="7" customFormat="1" ht="15.75" customHeight="1" x14ac:dyDescent="0.15"/>
    <row r="321" s="7" customFormat="1" ht="15.75" customHeight="1" x14ac:dyDescent="0.15"/>
    <row r="322" s="7" customFormat="1" ht="15.75" customHeight="1" x14ac:dyDescent="0.15"/>
    <row r="323" s="7" customFormat="1" ht="15.75" customHeight="1" x14ac:dyDescent="0.15"/>
    <row r="324" s="7" customFormat="1" ht="15.75" customHeight="1" x14ac:dyDescent="0.15"/>
    <row r="325" s="7" customFormat="1" ht="15.75" customHeight="1" x14ac:dyDescent="0.15"/>
    <row r="326" s="7" customFormat="1" ht="15.75" customHeight="1" x14ac:dyDescent="0.15"/>
    <row r="327" s="7" customFormat="1" ht="15.75" customHeight="1" x14ac:dyDescent="0.15"/>
    <row r="328" s="7" customFormat="1" ht="15.75" customHeight="1" x14ac:dyDescent="0.15"/>
    <row r="329" s="7" customFormat="1" ht="15.75" customHeight="1" x14ac:dyDescent="0.15"/>
    <row r="330" s="7" customFormat="1" ht="15.75" customHeight="1" x14ac:dyDescent="0.15"/>
    <row r="331" s="7" customFormat="1" ht="15.75" customHeight="1" x14ac:dyDescent="0.15"/>
    <row r="332" s="7" customFormat="1" ht="15.75" customHeight="1" x14ac:dyDescent="0.15"/>
    <row r="333" s="7" customFormat="1" ht="15.75" customHeight="1" x14ac:dyDescent="0.15"/>
    <row r="334" s="7" customFormat="1" ht="15.75" customHeight="1" x14ac:dyDescent="0.15"/>
    <row r="335" s="7" customFormat="1" ht="15.75" customHeight="1" x14ac:dyDescent="0.15"/>
    <row r="336" s="7" customFormat="1" ht="15.75" customHeight="1" x14ac:dyDescent="0.15"/>
    <row r="337" s="7" customFormat="1" ht="15.75" customHeight="1" x14ac:dyDescent="0.15"/>
    <row r="338" s="7" customFormat="1" ht="15.75" customHeight="1" x14ac:dyDescent="0.15"/>
    <row r="339" s="7" customFormat="1" ht="15.75" customHeight="1" x14ac:dyDescent="0.15"/>
    <row r="340" s="7" customFormat="1" ht="15.75" customHeight="1" x14ac:dyDescent="0.15"/>
    <row r="341" s="7" customFormat="1" ht="15.75" customHeight="1" x14ac:dyDescent="0.15"/>
    <row r="342" s="7" customFormat="1" ht="15.75" customHeight="1" x14ac:dyDescent="0.15"/>
    <row r="343" s="7" customFormat="1" ht="15.75" customHeight="1" x14ac:dyDescent="0.15"/>
    <row r="344" s="7" customFormat="1" ht="15.75" customHeight="1" x14ac:dyDescent="0.15"/>
    <row r="345" s="7" customFormat="1" ht="15.75" customHeight="1" x14ac:dyDescent="0.15"/>
    <row r="346" s="7" customFormat="1" ht="15.75" customHeight="1" x14ac:dyDescent="0.15"/>
    <row r="347" s="7" customFormat="1" ht="15.75" customHeight="1" x14ac:dyDescent="0.15"/>
    <row r="348" s="7" customFormat="1" ht="15.75" customHeight="1" x14ac:dyDescent="0.15"/>
    <row r="349" s="7" customFormat="1" ht="15.75" customHeight="1" x14ac:dyDescent="0.15"/>
    <row r="350" s="7" customFormat="1" ht="15.75" customHeight="1" x14ac:dyDescent="0.15"/>
    <row r="351" s="7" customFormat="1" ht="15.75" customHeight="1" x14ac:dyDescent="0.15"/>
    <row r="352" s="7" customFormat="1" ht="15.75" customHeight="1" x14ac:dyDescent="0.15"/>
    <row r="353" s="7" customFormat="1" ht="15.75" customHeight="1" x14ac:dyDescent="0.15"/>
    <row r="354" s="7" customFormat="1" ht="15.75" customHeight="1" x14ac:dyDescent="0.15"/>
    <row r="355" s="7" customFormat="1" ht="15.75" customHeight="1" x14ac:dyDescent="0.15"/>
    <row r="356" s="7" customFormat="1" ht="15.75" customHeight="1" x14ac:dyDescent="0.15"/>
    <row r="357" s="7" customFormat="1" ht="15.75" customHeight="1" x14ac:dyDescent="0.15"/>
    <row r="358" s="7" customFormat="1" ht="15.75" customHeight="1" x14ac:dyDescent="0.15"/>
    <row r="359" s="7" customFormat="1" ht="15.75" customHeight="1" x14ac:dyDescent="0.15"/>
    <row r="360" s="7" customFormat="1" ht="15.75" customHeight="1" x14ac:dyDescent="0.15"/>
    <row r="361" s="7" customFormat="1" ht="15.75" customHeight="1" x14ac:dyDescent="0.15"/>
    <row r="362" s="7" customFormat="1" ht="15.75" customHeight="1" x14ac:dyDescent="0.15"/>
    <row r="363" s="7" customFormat="1" ht="15.75" customHeight="1" x14ac:dyDescent="0.15"/>
    <row r="364" s="7" customFormat="1" ht="15.75" customHeight="1" x14ac:dyDescent="0.15"/>
    <row r="365" s="7" customFormat="1" ht="15.75" customHeight="1" x14ac:dyDescent="0.15"/>
    <row r="366" s="7" customFormat="1" ht="15.75" customHeight="1" x14ac:dyDescent="0.15"/>
    <row r="367" s="7" customFormat="1" ht="15.75" customHeight="1" x14ac:dyDescent="0.15"/>
    <row r="368" s="7" customFormat="1" ht="15.75" customHeight="1" x14ac:dyDescent="0.15"/>
    <row r="369" s="7" customFormat="1" ht="15.75" customHeight="1" x14ac:dyDescent="0.15"/>
    <row r="370" s="7" customFormat="1" ht="15.75" customHeight="1" x14ac:dyDescent="0.15"/>
    <row r="371" s="7" customFormat="1" ht="15.75" customHeight="1" x14ac:dyDescent="0.15"/>
    <row r="372" s="7" customFormat="1" ht="15.75" customHeight="1" x14ac:dyDescent="0.15"/>
    <row r="373" s="7" customFormat="1" ht="15.75" customHeight="1" x14ac:dyDescent="0.15"/>
    <row r="374" s="7" customFormat="1" ht="15.75" customHeight="1" x14ac:dyDescent="0.15"/>
    <row r="375" s="7" customFormat="1" ht="15.75" customHeight="1" x14ac:dyDescent="0.15"/>
    <row r="376" s="7" customFormat="1" ht="15.75" customHeight="1" x14ac:dyDescent="0.15"/>
    <row r="377" s="7" customFormat="1" ht="15.75" customHeight="1" x14ac:dyDescent="0.15"/>
    <row r="378" s="7" customFormat="1" ht="15.75" customHeight="1" x14ac:dyDescent="0.15"/>
    <row r="379" s="7" customFormat="1" ht="15.75" customHeight="1" x14ac:dyDescent="0.15"/>
    <row r="380" s="7" customFormat="1" ht="15.75" customHeight="1" x14ac:dyDescent="0.15"/>
    <row r="381" s="7" customFormat="1" ht="15.75" customHeight="1" x14ac:dyDescent="0.15"/>
    <row r="382" s="7" customFormat="1" ht="15.75" customHeight="1" x14ac:dyDescent="0.15"/>
    <row r="383" s="7" customFormat="1" ht="15.75" customHeight="1" x14ac:dyDescent="0.15"/>
    <row r="384" s="7" customFormat="1" ht="15.75" customHeight="1" x14ac:dyDescent="0.15"/>
    <row r="385" s="7" customFormat="1" ht="15.75" customHeight="1" x14ac:dyDescent="0.15"/>
    <row r="386" s="7" customFormat="1" ht="15.75" customHeight="1" x14ac:dyDescent="0.15"/>
    <row r="387" s="7" customFormat="1" ht="15.75" customHeight="1" x14ac:dyDescent="0.15"/>
    <row r="388" s="7" customFormat="1" ht="15.75" customHeight="1" x14ac:dyDescent="0.15"/>
    <row r="389" s="7" customFormat="1" ht="15.75" customHeight="1" x14ac:dyDescent="0.15"/>
    <row r="390" s="7" customFormat="1" ht="15.75" customHeight="1" x14ac:dyDescent="0.15"/>
    <row r="391" s="7" customFormat="1" ht="15.75" customHeight="1" x14ac:dyDescent="0.15"/>
    <row r="392" s="7" customFormat="1" ht="15.75" customHeight="1" x14ac:dyDescent="0.15"/>
    <row r="393" s="7" customFormat="1" ht="15.75" customHeight="1" x14ac:dyDescent="0.15"/>
    <row r="394" s="7" customFormat="1" ht="15.75" customHeight="1" x14ac:dyDescent="0.15"/>
    <row r="395" s="7" customFormat="1" ht="15.75" customHeight="1" x14ac:dyDescent="0.15"/>
    <row r="396" s="7" customFormat="1" ht="15.75" customHeight="1" x14ac:dyDescent="0.15"/>
    <row r="397" s="7" customFormat="1" ht="15.75" customHeight="1" x14ac:dyDescent="0.15"/>
    <row r="398" s="7" customFormat="1" ht="15.75" customHeight="1" x14ac:dyDescent="0.15"/>
    <row r="399" s="7" customFormat="1" ht="15.75" customHeight="1" x14ac:dyDescent="0.15"/>
    <row r="400" s="7" customFormat="1" ht="15.75" customHeight="1" x14ac:dyDescent="0.15"/>
    <row r="401" s="7" customFormat="1" ht="15.75" customHeight="1" x14ac:dyDescent="0.15"/>
    <row r="402" s="7" customFormat="1" ht="15.75" customHeight="1" x14ac:dyDescent="0.15"/>
    <row r="403" s="7" customFormat="1" ht="15.75" customHeight="1" x14ac:dyDescent="0.15"/>
    <row r="404" s="7" customFormat="1" ht="15.75" customHeight="1" x14ac:dyDescent="0.15"/>
    <row r="405" s="7" customFormat="1" ht="15.75" customHeight="1" x14ac:dyDescent="0.15"/>
    <row r="406" s="7" customFormat="1" ht="15.75" customHeight="1" x14ac:dyDescent="0.15"/>
    <row r="407" s="7" customFormat="1" ht="15.75" customHeight="1" x14ac:dyDescent="0.15"/>
    <row r="408" s="7" customFormat="1" ht="15.75" customHeight="1" x14ac:dyDescent="0.15"/>
    <row r="409" s="7" customFormat="1" ht="15.75" customHeight="1" x14ac:dyDescent="0.15"/>
    <row r="410" s="7" customFormat="1" ht="15.75" customHeight="1" x14ac:dyDescent="0.15"/>
    <row r="411" s="7" customFormat="1" ht="15.75" customHeight="1" x14ac:dyDescent="0.15"/>
    <row r="412" s="7" customFormat="1" ht="15.75" customHeight="1" x14ac:dyDescent="0.15"/>
    <row r="413" s="7" customFormat="1" ht="15.75" customHeight="1" x14ac:dyDescent="0.15"/>
    <row r="414" s="7" customFormat="1" ht="15.75" customHeight="1" x14ac:dyDescent="0.15"/>
    <row r="415" s="7" customFormat="1" ht="15.75" customHeight="1" x14ac:dyDescent="0.15"/>
    <row r="416" s="7" customFormat="1" ht="15.75" customHeight="1" x14ac:dyDescent="0.15"/>
    <row r="417" s="7" customFormat="1" ht="15.75" customHeight="1" x14ac:dyDescent="0.15"/>
    <row r="418" s="7" customFormat="1" ht="15.75" customHeight="1" x14ac:dyDescent="0.15"/>
    <row r="419" s="7" customFormat="1" ht="15.75" customHeight="1" x14ac:dyDescent="0.15"/>
    <row r="420" s="7" customFormat="1" ht="15.75" customHeight="1" x14ac:dyDescent="0.15"/>
    <row r="421" s="7" customFormat="1" ht="15.75" customHeight="1" x14ac:dyDescent="0.15"/>
    <row r="422" s="7" customFormat="1" ht="15.75" customHeight="1" x14ac:dyDescent="0.15"/>
    <row r="423" s="7" customFormat="1" ht="15.75" customHeight="1" x14ac:dyDescent="0.15"/>
    <row r="424" s="7" customFormat="1" ht="15.75" customHeight="1" x14ac:dyDescent="0.15"/>
    <row r="425" s="7" customFormat="1" ht="15.75" customHeight="1" x14ac:dyDescent="0.15"/>
    <row r="426" s="7" customFormat="1" ht="15.75" customHeight="1" x14ac:dyDescent="0.15"/>
    <row r="427" s="7" customFormat="1" ht="15.75" customHeight="1" x14ac:dyDescent="0.15"/>
    <row r="428" s="7" customFormat="1" ht="15.75" customHeight="1" x14ac:dyDescent="0.15"/>
    <row r="429" s="7" customFormat="1" ht="15.75" customHeight="1" x14ac:dyDescent="0.15"/>
    <row r="430" s="7" customFormat="1" ht="15.75" customHeight="1" x14ac:dyDescent="0.15"/>
    <row r="431" s="7" customFormat="1" ht="15.75" customHeight="1" x14ac:dyDescent="0.15"/>
    <row r="432" s="7" customFormat="1" ht="15.75" customHeight="1" x14ac:dyDescent="0.15"/>
    <row r="433" s="7" customFormat="1" ht="15.75" customHeight="1" x14ac:dyDescent="0.15"/>
    <row r="434" s="7" customFormat="1" ht="15.75" customHeight="1" x14ac:dyDescent="0.15"/>
    <row r="435" s="7" customFormat="1" ht="15.75" customHeight="1" x14ac:dyDescent="0.15"/>
    <row r="436" s="7" customFormat="1" ht="15.75" customHeight="1" x14ac:dyDescent="0.15"/>
    <row r="437" s="7" customFormat="1" ht="15.75" customHeight="1" x14ac:dyDescent="0.15"/>
    <row r="438" s="7" customFormat="1" ht="15.75" customHeight="1" x14ac:dyDescent="0.15"/>
    <row r="439" s="7" customFormat="1" ht="15.75" customHeight="1" x14ac:dyDescent="0.15"/>
    <row r="440" s="7" customFormat="1" ht="15.75" customHeight="1" x14ac:dyDescent="0.15"/>
    <row r="441" s="7" customFormat="1" ht="15.75" customHeight="1" x14ac:dyDescent="0.15"/>
    <row r="442" s="7" customFormat="1" ht="15.75" customHeight="1" x14ac:dyDescent="0.15"/>
    <row r="443" s="7" customFormat="1" ht="15.75" customHeight="1" x14ac:dyDescent="0.15"/>
    <row r="444" s="7" customFormat="1" ht="15.75" customHeight="1" x14ac:dyDescent="0.15"/>
    <row r="445" s="7" customFormat="1" ht="15.75" customHeight="1" x14ac:dyDescent="0.15"/>
    <row r="446" s="7" customFormat="1" ht="15.75" customHeight="1" x14ac:dyDescent="0.15"/>
    <row r="447" s="7" customFormat="1" ht="15.75" customHeight="1" x14ac:dyDescent="0.15"/>
    <row r="448" s="7" customFormat="1" ht="15.75" customHeight="1" x14ac:dyDescent="0.15"/>
    <row r="449" s="7" customFormat="1" ht="15.75" customHeight="1" x14ac:dyDescent="0.15"/>
    <row r="450" s="7" customFormat="1" ht="15.75" customHeight="1" x14ac:dyDescent="0.15"/>
    <row r="451" s="7" customFormat="1" ht="15.75" customHeight="1" x14ac:dyDescent="0.15"/>
    <row r="452" s="7" customFormat="1" ht="15.75" customHeight="1" x14ac:dyDescent="0.15"/>
    <row r="453" s="7" customFormat="1" ht="15.75" customHeight="1" x14ac:dyDescent="0.15"/>
    <row r="454" s="7" customFormat="1" ht="15.75" customHeight="1" x14ac:dyDescent="0.15"/>
    <row r="455" s="7" customFormat="1" ht="15.75" customHeight="1" x14ac:dyDescent="0.15"/>
    <row r="456" s="7" customFormat="1" ht="15.75" customHeight="1" x14ac:dyDescent="0.15"/>
    <row r="457" s="7" customFormat="1" ht="15.75" customHeight="1" x14ac:dyDescent="0.15"/>
    <row r="458" s="7" customFormat="1" ht="15.75" customHeight="1" x14ac:dyDescent="0.15"/>
    <row r="459" s="7" customFormat="1" ht="15.75" customHeight="1" x14ac:dyDescent="0.15"/>
    <row r="460" s="7" customFormat="1" ht="15.75" customHeight="1" x14ac:dyDescent="0.15"/>
    <row r="461" s="7" customFormat="1" ht="15.75" customHeight="1" x14ac:dyDescent="0.15"/>
    <row r="462" s="7" customFormat="1" ht="15.75" customHeight="1" x14ac:dyDescent="0.15"/>
    <row r="463" s="7" customFormat="1" ht="15.75" customHeight="1" x14ac:dyDescent="0.15"/>
    <row r="464" s="7" customFormat="1" ht="15.75" customHeight="1" x14ac:dyDescent="0.15"/>
    <row r="465" s="7" customFormat="1" ht="15.75" customHeight="1" x14ac:dyDescent="0.15"/>
    <row r="466" s="7" customFormat="1" ht="15.75" customHeight="1" x14ac:dyDescent="0.15"/>
    <row r="467" s="7" customFormat="1" ht="15.75" customHeight="1" x14ac:dyDescent="0.15"/>
    <row r="468" s="7" customFormat="1" ht="15.75" customHeight="1" x14ac:dyDescent="0.15"/>
    <row r="469" s="7" customFormat="1" ht="15.75" customHeight="1" x14ac:dyDescent="0.15"/>
    <row r="470" s="7" customFormat="1" ht="15.75" customHeight="1" x14ac:dyDescent="0.15"/>
    <row r="471" s="7" customFormat="1" ht="15.75" customHeight="1" x14ac:dyDescent="0.15"/>
    <row r="472" s="7" customFormat="1" ht="15.75" customHeight="1" x14ac:dyDescent="0.15"/>
    <row r="473" s="7" customFormat="1" ht="15.75" customHeight="1" x14ac:dyDescent="0.15"/>
    <row r="474" s="7" customFormat="1" ht="15.75" customHeight="1" x14ac:dyDescent="0.15"/>
    <row r="475" s="7" customFormat="1" ht="15.75" customHeight="1" x14ac:dyDescent="0.15"/>
    <row r="476" s="7" customFormat="1" ht="15.75" customHeight="1" x14ac:dyDescent="0.15"/>
    <row r="477" s="7" customFormat="1" ht="15.75" customHeight="1" x14ac:dyDescent="0.15"/>
    <row r="478" s="7" customFormat="1" ht="15.75" customHeight="1" x14ac:dyDescent="0.15"/>
    <row r="479" s="7" customFormat="1" ht="15.75" customHeight="1" x14ac:dyDescent="0.15"/>
    <row r="480" s="7" customFormat="1" ht="15.75" customHeight="1" x14ac:dyDescent="0.15"/>
    <row r="481" s="7" customFormat="1" ht="15.75" customHeight="1" x14ac:dyDescent="0.15"/>
    <row r="482" s="7" customFormat="1" ht="15.75" customHeight="1" x14ac:dyDescent="0.15"/>
    <row r="483" s="7" customFormat="1" ht="15.75" customHeight="1" x14ac:dyDescent="0.15"/>
    <row r="484" s="7" customFormat="1" ht="15.75" customHeight="1" x14ac:dyDescent="0.15"/>
    <row r="485" s="7" customFormat="1" ht="15.75" customHeight="1" x14ac:dyDescent="0.15"/>
    <row r="486" s="7" customFormat="1" ht="15.75" customHeight="1" x14ac:dyDescent="0.15"/>
    <row r="487" s="7" customFormat="1" ht="15.75" customHeight="1" x14ac:dyDescent="0.15"/>
    <row r="488" s="7" customFormat="1" ht="15.75" customHeight="1" x14ac:dyDescent="0.15"/>
    <row r="489" s="7" customFormat="1" ht="15.75" customHeight="1" x14ac:dyDescent="0.15"/>
    <row r="490" s="7" customFormat="1" ht="15.75" customHeight="1" x14ac:dyDescent="0.15"/>
    <row r="491" s="7" customFormat="1" ht="15.75" customHeight="1" x14ac:dyDescent="0.15"/>
    <row r="492" s="7" customFormat="1" ht="15.75" customHeight="1" x14ac:dyDescent="0.15"/>
    <row r="493" s="7" customFormat="1" ht="15.75" customHeight="1" x14ac:dyDescent="0.15"/>
    <row r="494" s="7" customFormat="1" ht="15.75" customHeight="1" x14ac:dyDescent="0.15"/>
    <row r="495" s="7" customFormat="1" ht="15.75" customHeight="1" x14ac:dyDescent="0.15"/>
    <row r="496" s="7" customFormat="1" ht="15.75" customHeight="1" x14ac:dyDescent="0.15"/>
    <row r="497" s="7" customFormat="1" ht="15.75" customHeight="1" x14ac:dyDescent="0.15"/>
    <row r="498" s="7" customFormat="1" ht="15.75" customHeight="1" x14ac:dyDescent="0.15"/>
    <row r="499" s="7" customFormat="1" ht="15.75" customHeight="1" x14ac:dyDescent="0.15"/>
    <row r="500" s="7" customFormat="1" ht="15.75" customHeight="1" x14ac:dyDescent="0.15"/>
    <row r="501" s="7" customFormat="1" ht="15.75" customHeight="1" x14ac:dyDescent="0.15"/>
    <row r="502" s="7" customFormat="1" ht="15.75" customHeight="1" x14ac:dyDescent="0.15"/>
    <row r="503" s="7" customFormat="1" ht="15.75" customHeight="1" x14ac:dyDescent="0.15"/>
    <row r="504" s="7" customFormat="1" ht="15.75" customHeight="1" x14ac:dyDescent="0.15"/>
    <row r="505" s="7" customFormat="1" ht="15.75" customHeight="1" x14ac:dyDescent="0.15"/>
    <row r="506" s="7" customFormat="1" ht="15.75" customHeight="1" x14ac:dyDescent="0.15"/>
    <row r="507" s="7" customFormat="1" ht="15.75" customHeight="1" x14ac:dyDescent="0.15"/>
    <row r="508" s="7" customFormat="1" ht="15.75" customHeight="1" x14ac:dyDescent="0.15"/>
    <row r="509" s="7" customFormat="1" ht="15.75" customHeight="1" x14ac:dyDescent="0.15"/>
    <row r="510" s="7" customFormat="1" ht="15.75" customHeight="1" x14ac:dyDescent="0.15"/>
    <row r="511" s="7" customFormat="1" ht="15.75" customHeight="1" x14ac:dyDescent="0.15"/>
    <row r="512" s="7" customFormat="1" ht="15.75" customHeight="1" x14ac:dyDescent="0.15"/>
    <row r="513" s="7" customFormat="1" ht="15.75" customHeight="1" x14ac:dyDescent="0.15"/>
    <row r="514" s="7" customFormat="1" ht="15.75" customHeight="1" x14ac:dyDescent="0.15"/>
    <row r="515" s="7" customFormat="1" ht="15.75" customHeight="1" x14ac:dyDescent="0.15"/>
    <row r="516" s="7" customFormat="1" ht="15.75" customHeight="1" x14ac:dyDescent="0.15"/>
    <row r="517" s="7" customFormat="1" ht="15.75" customHeight="1" x14ac:dyDescent="0.15"/>
    <row r="518" s="7" customFormat="1" ht="15.75" customHeight="1" x14ac:dyDescent="0.15"/>
    <row r="519" s="7" customFormat="1" ht="15.75" customHeight="1" x14ac:dyDescent="0.15"/>
    <row r="520" s="7" customFormat="1" ht="15.75" customHeight="1" x14ac:dyDescent="0.15"/>
    <row r="521" s="7" customFormat="1" ht="15.75" customHeight="1" x14ac:dyDescent="0.15"/>
    <row r="522" s="7" customFormat="1" ht="15.75" customHeight="1" x14ac:dyDescent="0.15"/>
    <row r="523" s="7" customFormat="1" ht="15.75" customHeight="1" x14ac:dyDescent="0.15"/>
    <row r="524" s="7" customFormat="1" ht="15.75" customHeight="1" x14ac:dyDescent="0.15"/>
    <row r="525" s="7" customFormat="1" ht="15.75" customHeight="1" x14ac:dyDescent="0.15"/>
    <row r="526" s="7" customFormat="1" ht="15.75" customHeight="1" x14ac:dyDescent="0.15"/>
    <row r="527" s="7" customFormat="1" ht="15.75" customHeight="1" x14ac:dyDescent="0.15"/>
    <row r="528" s="7" customFormat="1" ht="15.75" customHeight="1" x14ac:dyDescent="0.15"/>
    <row r="529" s="7" customFormat="1" ht="15.75" customHeight="1" x14ac:dyDescent="0.15"/>
    <row r="530" s="7" customFormat="1" ht="15.75" customHeight="1" x14ac:dyDescent="0.15"/>
    <row r="531" s="7" customFormat="1" ht="15.75" customHeight="1" x14ac:dyDescent="0.15"/>
    <row r="532" s="7" customFormat="1" ht="15.75" customHeight="1" x14ac:dyDescent="0.15"/>
    <row r="533" s="7" customFormat="1" ht="15.75" customHeight="1" x14ac:dyDescent="0.15"/>
    <row r="534" s="7" customFormat="1" ht="15.75" customHeight="1" x14ac:dyDescent="0.15"/>
    <row r="535" s="7" customFormat="1" ht="15.75" customHeight="1" x14ac:dyDescent="0.15"/>
    <row r="536" s="7" customFormat="1" ht="15.75" customHeight="1" x14ac:dyDescent="0.15"/>
    <row r="537" s="7" customFormat="1" ht="15.75" customHeight="1" x14ac:dyDescent="0.15"/>
    <row r="538" s="7" customFormat="1" ht="15.75" customHeight="1" x14ac:dyDescent="0.15"/>
    <row r="539" s="7" customFormat="1" ht="15.75" customHeight="1" x14ac:dyDescent="0.15"/>
    <row r="540" s="7" customFormat="1" ht="15.75" customHeight="1" x14ac:dyDescent="0.15"/>
    <row r="541" s="7" customFormat="1" ht="15.75" customHeight="1" x14ac:dyDescent="0.15"/>
    <row r="542" s="7" customFormat="1" ht="15.75" customHeight="1" x14ac:dyDescent="0.15"/>
    <row r="543" s="7" customFormat="1" ht="15.75" customHeight="1" x14ac:dyDescent="0.15"/>
    <row r="544" s="7" customFormat="1" ht="15.75" customHeight="1" x14ac:dyDescent="0.15"/>
    <row r="545" s="7" customFormat="1" ht="15.75" customHeight="1" x14ac:dyDescent="0.15"/>
    <row r="546" s="7" customFormat="1" ht="15.75" customHeight="1" x14ac:dyDescent="0.15"/>
    <row r="547" s="7" customFormat="1" ht="15.75" customHeight="1" x14ac:dyDescent="0.15"/>
    <row r="548" s="7" customFormat="1" ht="15.75" customHeight="1" x14ac:dyDescent="0.15"/>
    <row r="549" s="7" customFormat="1" ht="15.75" customHeight="1" x14ac:dyDescent="0.15"/>
    <row r="550" s="7" customFormat="1" ht="15.75" customHeight="1" x14ac:dyDescent="0.15"/>
    <row r="551" s="7" customFormat="1" ht="15.75" customHeight="1" x14ac:dyDescent="0.15"/>
    <row r="552" s="7" customFormat="1" ht="15.75" customHeight="1" x14ac:dyDescent="0.15"/>
    <row r="553" s="7" customFormat="1" ht="15.75" customHeight="1" x14ac:dyDescent="0.15"/>
    <row r="554" s="7" customFormat="1" ht="15.75" customHeight="1" x14ac:dyDescent="0.15"/>
    <row r="555" s="7" customFormat="1" ht="15.75" customHeight="1" x14ac:dyDescent="0.15"/>
    <row r="556" s="7" customFormat="1" ht="15.75" customHeight="1" x14ac:dyDescent="0.15"/>
    <row r="557" s="7" customFormat="1" ht="15.75" customHeight="1" x14ac:dyDescent="0.15"/>
    <row r="558" s="7" customFormat="1" ht="15.75" customHeight="1" x14ac:dyDescent="0.15"/>
    <row r="559" s="7" customFormat="1" ht="15.75" customHeight="1" x14ac:dyDescent="0.15"/>
    <row r="560" s="7" customFormat="1" ht="15.75" customHeight="1" x14ac:dyDescent="0.15"/>
    <row r="561" s="7" customFormat="1" ht="15.75" customHeight="1" x14ac:dyDescent="0.15"/>
    <row r="562" s="7" customFormat="1" ht="15.75" customHeight="1" x14ac:dyDescent="0.15"/>
    <row r="563" s="7" customFormat="1" ht="15.75" customHeight="1" x14ac:dyDescent="0.15"/>
    <row r="564" s="7" customFormat="1" ht="15.75" customHeight="1" x14ac:dyDescent="0.15"/>
    <row r="565" s="7" customFormat="1" ht="15.75" customHeight="1" x14ac:dyDescent="0.15"/>
    <row r="566" s="7" customFormat="1" ht="15.75" customHeight="1" x14ac:dyDescent="0.15"/>
    <row r="567" s="7" customFormat="1" ht="15.75" customHeight="1" x14ac:dyDescent="0.15"/>
    <row r="568" s="7" customFormat="1" ht="15.75" customHeight="1" x14ac:dyDescent="0.15"/>
    <row r="569" s="7" customFormat="1" ht="15.75" customHeight="1" x14ac:dyDescent="0.15"/>
    <row r="570" s="7" customFormat="1" ht="15.75" customHeight="1" x14ac:dyDescent="0.15"/>
    <row r="571" s="7" customFormat="1" ht="15.75" customHeight="1" x14ac:dyDescent="0.15"/>
    <row r="572" s="7" customFormat="1" ht="15.75" customHeight="1" x14ac:dyDescent="0.15"/>
    <row r="573" s="7" customFormat="1" ht="15.75" customHeight="1" x14ac:dyDescent="0.15"/>
    <row r="574" s="7" customFormat="1" ht="15.75" customHeight="1" x14ac:dyDescent="0.15"/>
    <row r="575" s="7" customFormat="1" ht="15.75" customHeight="1" x14ac:dyDescent="0.15"/>
    <row r="576" s="7" customFormat="1" ht="15.75" customHeight="1" x14ac:dyDescent="0.15"/>
    <row r="577" s="7" customFormat="1" ht="15.75" customHeight="1" x14ac:dyDescent="0.15"/>
    <row r="578" s="7" customFormat="1" ht="15.75" customHeight="1" x14ac:dyDescent="0.15"/>
    <row r="579" s="7" customFormat="1" ht="15.75" customHeight="1" x14ac:dyDescent="0.15"/>
    <row r="580" s="7" customFormat="1" ht="15.75" customHeight="1" x14ac:dyDescent="0.15"/>
    <row r="581" s="7" customFormat="1" ht="15.75" customHeight="1" x14ac:dyDescent="0.15"/>
    <row r="582" s="7" customFormat="1" ht="15.75" customHeight="1" x14ac:dyDescent="0.15"/>
    <row r="583" s="7" customFormat="1" ht="15.75" customHeight="1" x14ac:dyDescent="0.15"/>
    <row r="584" s="7" customFormat="1" ht="15.75" customHeight="1" x14ac:dyDescent="0.15"/>
    <row r="585" s="7" customFormat="1" ht="15.75" customHeight="1" x14ac:dyDescent="0.15"/>
    <row r="586" s="7" customFormat="1" ht="15.75" customHeight="1" x14ac:dyDescent="0.15"/>
    <row r="587" s="7" customFormat="1" ht="15.75" customHeight="1" x14ac:dyDescent="0.15"/>
    <row r="588" s="7" customFormat="1" ht="15.75" customHeight="1" x14ac:dyDescent="0.15"/>
    <row r="589" s="7" customFormat="1" ht="15.75" customHeight="1" x14ac:dyDescent="0.15"/>
    <row r="590" s="7" customFormat="1" ht="15.75" customHeight="1" x14ac:dyDescent="0.15"/>
    <row r="591" s="7" customFormat="1" ht="15.75" customHeight="1" x14ac:dyDescent="0.15"/>
    <row r="592" s="7" customFormat="1" ht="15.75" customHeight="1" x14ac:dyDescent="0.15"/>
    <row r="593" s="7" customFormat="1" ht="15.75" customHeight="1" x14ac:dyDescent="0.15"/>
    <row r="594" s="7" customFormat="1" ht="15.75" customHeight="1" x14ac:dyDescent="0.15"/>
    <row r="595" s="7" customFormat="1" ht="15.75" customHeight="1" x14ac:dyDescent="0.15"/>
    <row r="596" s="7" customFormat="1" ht="15.75" customHeight="1" x14ac:dyDescent="0.15"/>
    <row r="597" s="7" customFormat="1" ht="15.75" customHeight="1" x14ac:dyDescent="0.15"/>
    <row r="598" s="7" customFormat="1" ht="15.75" customHeight="1" x14ac:dyDescent="0.15"/>
    <row r="599" s="7" customFormat="1" ht="15.75" customHeight="1" x14ac:dyDescent="0.15"/>
    <row r="600" s="7" customFormat="1" ht="15.75" customHeight="1" x14ac:dyDescent="0.15"/>
    <row r="601" s="7" customFormat="1" ht="15.75" customHeight="1" x14ac:dyDescent="0.15"/>
    <row r="602" s="7" customFormat="1" ht="15.75" customHeight="1" x14ac:dyDescent="0.15"/>
    <row r="603" s="7" customFormat="1" ht="15.75" customHeight="1" x14ac:dyDescent="0.15"/>
    <row r="604" s="7" customFormat="1" ht="15.75" customHeight="1" x14ac:dyDescent="0.15"/>
    <row r="605" s="7" customFormat="1" ht="15.75" customHeight="1" x14ac:dyDescent="0.15"/>
    <row r="606" s="7" customFormat="1" ht="15.75" customHeight="1" x14ac:dyDescent="0.15"/>
    <row r="607" s="7" customFormat="1" ht="15.75" customHeight="1" x14ac:dyDescent="0.15"/>
    <row r="608" s="7" customFormat="1" ht="15.75" customHeight="1" x14ac:dyDescent="0.15"/>
    <row r="609" s="7" customFormat="1" ht="15.75" customHeight="1" x14ac:dyDescent="0.15"/>
    <row r="610" s="7" customFormat="1" ht="15.75" customHeight="1" x14ac:dyDescent="0.15"/>
    <row r="611" s="7" customFormat="1" ht="15.75" customHeight="1" x14ac:dyDescent="0.15"/>
    <row r="612" s="7" customFormat="1" ht="15.75" customHeight="1" x14ac:dyDescent="0.15"/>
    <row r="613" s="7" customFormat="1" ht="15.75" customHeight="1" x14ac:dyDescent="0.15"/>
    <row r="614" s="7" customFormat="1" ht="15.75" customHeight="1" x14ac:dyDescent="0.15"/>
    <row r="615" s="7" customFormat="1" ht="15.75" customHeight="1" x14ac:dyDescent="0.15"/>
    <row r="616" s="7" customFormat="1" ht="15.75" customHeight="1" x14ac:dyDescent="0.15"/>
    <row r="617" s="7" customFormat="1" ht="15.75" customHeight="1" x14ac:dyDescent="0.15"/>
    <row r="618" s="7" customFormat="1" ht="15.75" customHeight="1" x14ac:dyDescent="0.15"/>
    <row r="619" s="7" customFormat="1" ht="15.75" customHeight="1" x14ac:dyDescent="0.15"/>
    <row r="620" s="7" customFormat="1" ht="15.75" customHeight="1" x14ac:dyDescent="0.15"/>
    <row r="621" s="7" customFormat="1" ht="15.75" customHeight="1" x14ac:dyDescent="0.15"/>
    <row r="622" s="7" customFormat="1" ht="15.75" customHeight="1" x14ac:dyDescent="0.15"/>
    <row r="623" s="7" customFormat="1" ht="15.75" customHeight="1" x14ac:dyDescent="0.15"/>
    <row r="624" s="7" customFormat="1" ht="15.75" customHeight="1" x14ac:dyDescent="0.15"/>
    <row r="625" s="7" customFormat="1" ht="15.75" customHeight="1" x14ac:dyDescent="0.15"/>
    <row r="626" s="7" customFormat="1" ht="15.75" customHeight="1" x14ac:dyDescent="0.15"/>
    <row r="627" s="7" customFormat="1" ht="15.75" customHeight="1" x14ac:dyDescent="0.15"/>
    <row r="628" s="7" customFormat="1" ht="15.75" customHeight="1" x14ac:dyDescent="0.15"/>
    <row r="629" s="7" customFormat="1" ht="15.75" customHeight="1" x14ac:dyDescent="0.15"/>
    <row r="630" s="7" customFormat="1" ht="15.75" customHeight="1" x14ac:dyDescent="0.15"/>
    <row r="631" s="7" customFormat="1" ht="15.75" customHeight="1" x14ac:dyDescent="0.15"/>
    <row r="632" s="7" customFormat="1" ht="15.75" customHeight="1" x14ac:dyDescent="0.15"/>
    <row r="633" s="7" customFormat="1" ht="15.75" customHeight="1" x14ac:dyDescent="0.15"/>
    <row r="634" s="7" customFormat="1" ht="15.75" customHeight="1" x14ac:dyDescent="0.15"/>
    <row r="635" s="7" customFormat="1" ht="15.75" customHeight="1" x14ac:dyDescent="0.15"/>
    <row r="636" s="7" customFormat="1" ht="15.75" customHeight="1" x14ac:dyDescent="0.15"/>
    <row r="637" s="7" customFormat="1" ht="15.75" customHeight="1" x14ac:dyDescent="0.15"/>
    <row r="638" s="7" customFormat="1" ht="15.75" customHeight="1" x14ac:dyDescent="0.15"/>
    <row r="639" s="7" customFormat="1" ht="15.75" customHeight="1" x14ac:dyDescent="0.15"/>
    <row r="640" s="7" customFormat="1" ht="15.75" customHeight="1" x14ac:dyDescent="0.15"/>
    <row r="641" s="7" customFormat="1" ht="15.75" customHeight="1" x14ac:dyDescent="0.15"/>
    <row r="642" s="7" customFormat="1" ht="15.75" customHeight="1" x14ac:dyDescent="0.15"/>
    <row r="643" s="7" customFormat="1" ht="15.75" customHeight="1" x14ac:dyDescent="0.15"/>
    <row r="644" s="7" customFormat="1" ht="15.75" customHeight="1" x14ac:dyDescent="0.15"/>
    <row r="645" s="7" customFormat="1" ht="15.75" customHeight="1" x14ac:dyDescent="0.15"/>
    <row r="646" s="7" customFormat="1" ht="15.75" customHeight="1" x14ac:dyDescent="0.15"/>
    <row r="647" s="7" customFormat="1" ht="15.75" customHeight="1" x14ac:dyDescent="0.15"/>
    <row r="648" s="7" customFormat="1" ht="15.75" customHeight="1" x14ac:dyDescent="0.15"/>
    <row r="649" s="7" customFormat="1" ht="15.75" customHeight="1" x14ac:dyDescent="0.15"/>
    <row r="650" s="7" customFormat="1" ht="15.75" customHeight="1" x14ac:dyDescent="0.15"/>
    <row r="651" s="7" customFormat="1" ht="15.75" customHeight="1" x14ac:dyDescent="0.15"/>
    <row r="652" s="7" customFormat="1" ht="15.75" customHeight="1" x14ac:dyDescent="0.15"/>
    <row r="653" s="7" customFormat="1" ht="15.75" customHeight="1" x14ac:dyDescent="0.15"/>
    <row r="654" s="7" customFormat="1" ht="15.75" customHeight="1" x14ac:dyDescent="0.15"/>
    <row r="655" s="7" customFormat="1" ht="15.75" customHeight="1" x14ac:dyDescent="0.15"/>
    <row r="656" s="7" customFormat="1" ht="15.75" customHeight="1" x14ac:dyDescent="0.15"/>
    <row r="657" s="7" customFormat="1" ht="15.75" customHeight="1" x14ac:dyDescent="0.15"/>
    <row r="658" s="7" customFormat="1" ht="15.75" customHeight="1" x14ac:dyDescent="0.15"/>
    <row r="659" s="7" customFormat="1" ht="15.75" customHeight="1" x14ac:dyDescent="0.15"/>
    <row r="660" s="7" customFormat="1" ht="15.75" customHeight="1" x14ac:dyDescent="0.15"/>
    <row r="661" s="7" customFormat="1" ht="15.75" customHeight="1" x14ac:dyDescent="0.15"/>
    <row r="662" s="7" customFormat="1" ht="15.75" customHeight="1" x14ac:dyDescent="0.15"/>
    <row r="663" s="7" customFormat="1" ht="15.75" customHeight="1" x14ac:dyDescent="0.15"/>
    <row r="664" s="7" customFormat="1" ht="15.75" customHeight="1" x14ac:dyDescent="0.15"/>
    <row r="665" s="7" customFormat="1" ht="15.75" customHeight="1" x14ac:dyDescent="0.15"/>
    <row r="666" s="7" customFormat="1" ht="15.75" customHeight="1" x14ac:dyDescent="0.15"/>
    <row r="667" s="7" customFormat="1" ht="15.75" customHeight="1" x14ac:dyDescent="0.15"/>
    <row r="668" s="7" customFormat="1" ht="15.75" customHeight="1" x14ac:dyDescent="0.15"/>
    <row r="669" s="7" customFormat="1" ht="15.75" customHeight="1" x14ac:dyDescent="0.15"/>
    <row r="670" s="7" customFormat="1" ht="15.75" customHeight="1" x14ac:dyDescent="0.15"/>
    <row r="671" s="7" customFormat="1" ht="15.75" customHeight="1" x14ac:dyDescent="0.15"/>
    <row r="672" s="7" customFormat="1" ht="15.75" customHeight="1" x14ac:dyDescent="0.15"/>
    <row r="673" s="7" customFormat="1" ht="15.75" customHeight="1" x14ac:dyDescent="0.15"/>
    <row r="674" s="7" customFormat="1" ht="15.75" customHeight="1" x14ac:dyDescent="0.15"/>
    <row r="675" s="7" customFormat="1" ht="15.75" customHeight="1" x14ac:dyDescent="0.15"/>
    <row r="676" s="7" customFormat="1" ht="15.75" customHeight="1" x14ac:dyDescent="0.15"/>
    <row r="677" s="7" customFormat="1" ht="15.75" customHeight="1" x14ac:dyDescent="0.15"/>
    <row r="678" s="7" customFormat="1" ht="15.75" customHeight="1" x14ac:dyDescent="0.15"/>
    <row r="679" s="7" customFormat="1" ht="15.75" customHeight="1" x14ac:dyDescent="0.15"/>
    <row r="680" s="7" customFormat="1" ht="15.75" customHeight="1" x14ac:dyDescent="0.15"/>
    <row r="681" s="7" customFormat="1" ht="15.75" customHeight="1" x14ac:dyDescent="0.15"/>
    <row r="682" s="7" customFormat="1" ht="15.75" customHeight="1" x14ac:dyDescent="0.15"/>
    <row r="683" s="7" customFormat="1" ht="15.75" customHeight="1" x14ac:dyDescent="0.15"/>
    <row r="684" s="7" customFormat="1" ht="15.75" customHeight="1" x14ac:dyDescent="0.15"/>
    <row r="685" s="7" customFormat="1" ht="15.75" customHeight="1" x14ac:dyDescent="0.15"/>
    <row r="686" s="7" customFormat="1" ht="15.75" customHeight="1" x14ac:dyDescent="0.15"/>
    <row r="687" s="7" customFormat="1" ht="15.75" customHeight="1" x14ac:dyDescent="0.15"/>
    <row r="688" s="7" customFormat="1" ht="15.75" customHeight="1" x14ac:dyDescent="0.15"/>
    <row r="689" s="7" customFormat="1" ht="15.75" customHeight="1" x14ac:dyDescent="0.15"/>
    <row r="690" s="7" customFormat="1" ht="15.75" customHeight="1" x14ac:dyDescent="0.15"/>
    <row r="691" s="7" customFormat="1" ht="15.75" customHeight="1" x14ac:dyDescent="0.15"/>
    <row r="692" s="7" customFormat="1" ht="15.75" customHeight="1" x14ac:dyDescent="0.15"/>
    <row r="693" s="7" customFormat="1" ht="15.75" customHeight="1" x14ac:dyDescent="0.15"/>
    <row r="694" s="7" customFormat="1" ht="15.75" customHeight="1" x14ac:dyDescent="0.15"/>
    <row r="695" s="7" customFormat="1" ht="15.75" customHeight="1" x14ac:dyDescent="0.15"/>
    <row r="696" s="7" customFormat="1" ht="15.75" customHeight="1" x14ac:dyDescent="0.15"/>
    <row r="697" s="7" customFormat="1" ht="15.75" customHeight="1" x14ac:dyDescent="0.15"/>
    <row r="698" s="7" customFormat="1" ht="15.75" customHeight="1" x14ac:dyDescent="0.15"/>
    <row r="699" s="7" customFormat="1" ht="15.75" customHeight="1" x14ac:dyDescent="0.15"/>
    <row r="700" s="7" customFormat="1" ht="15.75" customHeight="1" x14ac:dyDescent="0.15"/>
    <row r="701" s="7" customFormat="1" ht="15.75" customHeight="1" x14ac:dyDescent="0.15"/>
    <row r="702" s="7" customFormat="1" ht="15.75" customHeight="1" x14ac:dyDescent="0.15"/>
    <row r="703" s="7" customFormat="1" ht="15.75" customHeight="1" x14ac:dyDescent="0.15"/>
    <row r="704" s="7" customFormat="1" ht="15.75" customHeight="1" x14ac:dyDescent="0.15"/>
    <row r="705" s="7" customFormat="1" ht="15.75" customHeight="1" x14ac:dyDescent="0.15"/>
    <row r="706" s="7" customFormat="1" ht="15.75" customHeight="1" x14ac:dyDescent="0.15"/>
    <row r="707" s="7" customFormat="1" ht="15.75" customHeight="1" x14ac:dyDescent="0.15"/>
    <row r="708" s="7" customFormat="1" ht="15.75" customHeight="1" x14ac:dyDescent="0.15"/>
    <row r="709" s="7" customFormat="1" ht="15.75" customHeight="1" x14ac:dyDescent="0.15"/>
    <row r="710" s="7" customFormat="1" ht="15.75" customHeight="1" x14ac:dyDescent="0.15"/>
    <row r="711" s="7" customFormat="1" ht="15.75" customHeight="1" x14ac:dyDescent="0.15"/>
    <row r="712" s="7" customFormat="1" ht="15.75" customHeight="1" x14ac:dyDescent="0.15"/>
    <row r="713" s="7" customFormat="1" ht="15.75" customHeight="1" x14ac:dyDescent="0.15"/>
    <row r="714" s="7" customFormat="1" ht="15.75" customHeight="1" x14ac:dyDescent="0.15"/>
    <row r="715" s="7" customFormat="1" ht="15.75" customHeight="1" x14ac:dyDescent="0.15"/>
    <row r="716" s="7" customFormat="1" ht="15.75" customHeight="1" x14ac:dyDescent="0.15"/>
    <row r="717" s="7" customFormat="1" ht="15.75" customHeight="1" x14ac:dyDescent="0.15"/>
    <row r="718" s="7" customFormat="1" ht="15.75" customHeight="1" x14ac:dyDescent="0.15"/>
    <row r="719" s="7" customFormat="1" ht="15.75" customHeight="1" x14ac:dyDescent="0.15"/>
    <row r="720" s="7" customFormat="1" ht="15.75" customHeight="1" x14ac:dyDescent="0.15"/>
    <row r="721" s="7" customFormat="1" ht="15.75" customHeight="1" x14ac:dyDescent="0.15"/>
    <row r="722" s="7" customFormat="1" ht="15.75" customHeight="1" x14ac:dyDescent="0.15"/>
    <row r="723" s="7" customFormat="1" ht="15.75" customHeight="1" x14ac:dyDescent="0.15"/>
    <row r="724" s="7" customFormat="1" ht="15.75" customHeight="1" x14ac:dyDescent="0.15"/>
    <row r="725" s="7" customFormat="1" ht="15.75" customHeight="1" x14ac:dyDescent="0.15"/>
    <row r="726" s="7" customFormat="1" ht="15.75" customHeight="1" x14ac:dyDescent="0.15"/>
    <row r="727" s="7" customFormat="1" ht="15.75" customHeight="1" x14ac:dyDescent="0.15"/>
    <row r="728" s="7" customFormat="1" ht="15.75" customHeight="1" x14ac:dyDescent="0.15"/>
    <row r="729" s="7" customFormat="1" ht="15.75" customHeight="1" x14ac:dyDescent="0.15"/>
    <row r="730" s="7" customFormat="1" ht="15.75" customHeight="1" x14ac:dyDescent="0.15"/>
    <row r="731" s="7" customFormat="1" ht="15.75" customHeight="1" x14ac:dyDescent="0.15"/>
    <row r="732" s="7" customFormat="1" ht="15.75" customHeight="1" x14ac:dyDescent="0.15"/>
    <row r="733" s="7" customFormat="1" ht="15.75" customHeight="1" x14ac:dyDescent="0.15"/>
    <row r="734" s="7" customFormat="1" ht="15.75" customHeight="1" x14ac:dyDescent="0.15"/>
    <row r="735" s="7" customFormat="1" ht="15.75" customHeight="1" x14ac:dyDescent="0.15"/>
    <row r="736" s="7" customFormat="1" ht="15.75" customHeight="1" x14ac:dyDescent="0.15"/>
    <row r="737" s="7" customFormat="1" ht="15.75" customHeight="1" x14ac:dyDescent="0.15"/>
    <row r="738" s="7" customFormat="1" ht="15.75" customHeight="1" x14ac:dyDescent="0.15"/>
    <row r="739" s="7" customFormat="1" ht="15.75" customHeight="1" x14ac:dyDescent="0.15"/>
    <row r="740" s="7" customFormat="1" ht="15.75" customHeight="1" x14ac:dyDescent="0.15"/>
    <row r="741" s="7" customFormat="1" ht="15.75" customHeight="1" x14ac:dyDescent="0.15"/>
    <row r="742" s="7" customFormat="1" ht="15.75" customHeight="1" x14ac:dyDescent="0.15"/>
    <row r="743" s="7" customFormat="1" ht="15.75" customHeight="1" x14ac:dyDescent="0.15"/>
    <row r="744" s="7" customFormat="1" ht="15.75" customHeight="1" x14ac:dyDescent="0.15"/>
    <row r="745" s="7" customFormat="1" ht="15.75" customHeight="1" x14ac:dyDescent="0.15"/>
    <row r="746" s="7" customFormat="1" ht="15.75" customHeight="1" x14ac:dyDescent="0.15"/>
    <row r="747" s="7" customFormat="1" ht="15.75" customHeight="1" x14ac:dyDescent="0.15"/>
    <row r="748" s="7" customFormat="1" ht="15.75" customHeight="1" x14ac:dyDescent="0.15"/>
    <row r="749" s="7" customFormat="1" ht="15.75" customHeight="1" x14ac:dyDescent="0.15"/>
    <row r="750" s="7" customFormat="1" ht="15.75" customHeight="1" x14ac:dyDescent="0.15"/>
    <row r="751" s="7" customFormat="1" ht="15.75" customHeight="1" x14ac:dyDescent="0.15"/>
    <row r="752" s="7" customFormat="1" ht="15.75" customHeight="1" x14ac:dyDescent="0.15"/>
    <row r="753" s="7" customFormat="1" ht="15.75" customHeight="1" x14ac:dyDescent="0.15"/>
    <row r="754" s="7" customFormat="1" ht="15.75" customHeight="1" x14ac:dyDescent="0.15"/>
    <row r="755" s="7" customFormat="1" ht="15.75" customHeight="1" x14ac:dyDescent="0.15"/>
    <row r="756" s="7" customFormat="1" ht="15.75" customHeight="1" x14ac:dyDescent="0.15"/>
    <row r="757" s="7" customFormat="1" ht="15.75" customHeight="1" x14ac:dyDescent="0.15"/>
    <row r="758" s="7" customFormat="1" ht="15.75" customHeight="1" x14ac:dyDescent="0.15"/>
    <row r="759" s="7" customFormat="1" ht="15.75" customHeight="1" x14ac:dyDescent="0.15"/>
    <row r="760" s="7" customFormat="1" ht="15.75" customHeight="1" x14ac:dyDescent="0.15"/>
    <row r="761" s="7" customFormat="1" ht="15.75" customHeight="1" x14ac:dyDescent="0.15"/>
    <row r="762" s="7" customFormat="1" ht="15.75" customHeight="1" x14ac:dyDescent="0.15"/>
    <row r="763" s="7" customFormat="1" ht="15.75" customHeight="1" x14ac:dyDescent="0.15"/>
    <row r="764" s="7" customFormat="1" ht="15.75" customHeight="1" x14ac:dyDescent="0.15"/>
    <row r="765" s="7" customFormat="1" ht="15.75" customHeight="1" x14ac:dyDescent="0.15"/>
    <row r="766" s="7" customFormat="1" ht="15.75" customHeight="1" x14ac:dyDescent="0.15"/>
    <row r="767" s="7" customFormat="1" ht="15.75" customHeight="1" x14ac:dyDescent="0.15"/>
    <row r="768" s="7" customFormat="1" ht="15.75" customHeight="1" x14ac:dyDescent="0.15"/>
    <row r="769" s="7" customFormat="1" ht="15.75" customHeight="1" x14ac:dyDescent="0.15"/>
    <row r="770" s="7" customFormat="1" ht="15.75" customHeight="1" x14ac:dyDescent="0.15"/>
    <row r="771" s="7" customFormat="1" ht="15.75" customHeight="1" x14ac:dyDescent="0.15"/>
    <row r="772" s="7" customFormat="1" ht="15.75" customHeight="1" x14ac:dyDescent="0.15"/>
    <row r="773" s="7" customFormat="1" ht="15.75" customHeight="1" x14ac:dyDescent="0.15"/>
    <row r="774" s="7" customFormat="1" ht="15.75" customHeight="1" x14ac:dyDescent="0.15"/>
    <row r="775" s="7" customFormat="1" ht="15.75" customHeight="1" x14ac:dyDescent="0.15"/>
    <row r="776" s="7" customFormat="1" ht="15.75" customHeight="1" x14ac:dyDescent="0.15"/>
    <row r="777" s="7" customFormat="1" ht="15.75" customHeight="1" x14ac:dyDescent="0.15"/>
    <row r="778" s="7" customFormat="1" ht="15.75" customHeight="1" x14ac:dyDescent="0.15"/>
    <row r="779" s="7" customFormat="1" ht="15.75" customHeight="1" x14ac:dyDescent="0.15"/>
    <row r="780" s="7" customFormat="1" ht="15.75" customHeight="1" x14ac:dyDescent="0.15"/>
    <row r="781" s="7" customFormat="1" ht="15.75" customHeight="1" x14ac:dyDescent="0.15"/>
    <row r="782" s="7" customFormat="1" ht="15.75" customHeight="1" x14ac:dyDescent="0.15"/>
    <row r="783" s="7" customFormat="1" ht="15.75" customHeight="1" x14ac:dyDescent="0.15"/>
    <row r="784" s="7" customFormat="1" ht="15.75" customHeight="1" x14ac:dyDescent="0.15"/>
    <row r="785" s="7" customFormat="1" ht="15.75" customHeight="1" x14ac:dyDescent="0.15"/>
    <row r="786" s="7" customFormat="1" ht="15.75" customHeight="1" x14ac:dyDescent="0.15"/>
    <row r="787" s="7" customFormat="1" ht="15.75" customHeight="1" x14ac:dyDescent="0.15"/>
    <row r="788" s="7" customFormat="1" ht="15.75" customHeight="1" x14ac:dyDescent="0.15"/>
    <row r="789" s="7" customFormat="1" ht="15.75" customHeight="1" x14ac:dyDescent="0.15"/>
    <row r="790" s="7" customFormat="1" ht="15.75" customHeight="1" x14ac:dyDescent="0.15"/>
    <row r="791" s="7" customFormat="1" ht="15.75" customHeight="1" x14ac:dyDescent="0.15"/>
    <row r="792" s="7" customFormat="1" ht="15.75" customHeight="1" x14ac:dyDescent="0.15"/>
    <row r="793" s="7" customFormat="1" ht="15.75" customHeight="1" x14ac:dyDescent="0.15"/>
    <row r="794" s="7" customFormat="1" ht="15.75" customHeight="1" x14ac:dyDescent="0.15"/>
    <row r="795" s="7" customFormat="1" ht="15.75" customHeight="1" x14ac:dyDescent="0.15"/>
    <row r="796" s="7" customFormat="1" ht="15.75" customHeight="1" x14ac:dyDescent="0.15"/>
    <row r="797" s="7" customFormat="1" ht="15.75" customHeight="1" x14ac:dyDescent="0.15"/>
    <row r="798" s="7" customFormat="1" ht="15.75" customHeight="1" x14ac:dyDescent="0.15"/>
    <row r="799" s="7" customFormat="1" ht="15.75" customHeight="1" x14ac:dyDescent="0.15"/>
    <row r="800" s="7" customFormat="1" ht="15.75" customHeight="1" x14ac:dyDescent="0.15"/>
    <row r="801" s="7" customFormat="1" ht="15.75" customHeight="1" x14ac:dyDescent="0.15"/>
    <row r="802" s="7" customFormat="1" ht="15.75" customHeight="1" x14ac:dyDescent="0.15"/>
    <row r="803" s="7" customFormat="1" ht="15.75" customHeight="1" x14ac:dyDescent="0.15"/>
    <row r="804" s="7" customFormat="1" ht="15.75" customHeight="1" x14ac:dyDescent="0.15"/>
    <row r="805" s="7" customFormat="1" ht="15.75" customHeight="1" x14ac:dyDescent="0.15"/>
    <row r="806" s="7" customFormat="1" ht="15.75" customHeight="1" x14ac:dyDescent="0.15"/>
    <row r="807" s="7" customFormat="1" ht="15.75" customHeight="1" x14ac:dyDescent="0.15"/>
    <row r="808" s="7" customFormat="1" ht="15.75" customHeight="1" x14ac:dyDescent="0.15"/>
    <row r="809" s="7" customFormat="1" ht="15.75" customHeight="1" x14ac:dyDescent="0.15"/>
    <row r="810" s="7" customFormat="1" ht="15.75" customHeight="1" x14ac:dyDescent="0.15"/>
    <row r="811" s="7" customFormat="1" ht="15.75" customHeight="1" x14ac:dyDescent="0.15"/>
    <row r="812" s="7" customFormat="1" ht="15.75" customHeight="1" x14ac:dyDescent="0.15"/>
    <row r="813" s="7" customFormat="1" ht="15.75" customHeight="1" x14ac:dyDescent="0.15"/>
    <row r="814" s="7" customFormat="1" ht="15.75" customHeight="1" x14ac:dyDescent="0.15"/>
    <row r="815" s="7" customFormat="1" ht="15.75" customHeight="1" x14ac:dyDescent="0.15"/>
    <row r="816" s="7" customFormat="1" ht="15.75" customHeight="1" x14ac:dyDescent="0.15"/>
    <row r="817" s="7" customFormat="1" ht="15.75" customHeight="1" x14ac:dyDescent="0.15"/>
    <row r="818" s="7" customFormat="1" ht="15.75" customHeight="1" x14ac:dyDescent="0.15"/>
    <row r="819" s="7" customFormat="1" ht="15.75" customHeight="1" x14ac:dyDescent="0.15"/>
    <row r="820" s="7" customFormat="1" ht="15.75" customHeight="1" x14ac:dyDescent="0.15"/>
    <row r="821" s="7" customFormat="1" ht="15.75" customHeight="1" x14ac:dyDescent="0.15"/>
    <row r="822" s="7" customFormat="1" ht="15.75" customHeight="1" x14ac:dyDescent="0.15"/>
    <row r="823" s="7" customFormat="1" ht="15.75" customHeight="1" x14ac:dyDescent="0.15"/>
    <row r="824" s="7" customFormat="1" ht="15.75" customHeight="1" x14ac:dyDescent="0.15"/>
    <row r="825" s="7" customFormat="1" ht="15.75" customHeight="1" x14ac:dyDescent="0.15"/>
    <row r="826" s="7" customFormat="1" ht="15.75" customHeight="1" x14ac:dyDescent="0.15"/>
    <row r="827" s="7" customFormat="1" ht="15.75" customHeight="1" x14ac:dyDescent="0.15"/>
    <row r="828" s="7" customFormat="1" ht="15.75" customHeight="1" x14ac:dyDescent="0.15"/>
    <row r="829" s="7" customFormat="1" ht="15.75" customHeight="1" x14ac:dyDescent="0.15"/>
    <row r="830" s="7" customFormat="1" ht="15.75" customHeight="1" x14ac:dyDescent="0.15"/>
    <row r="831" s="7" customFormat="1" ht="15.75" customHeight="1" x14ac:dyDescent="0.15"/>
    <row r="832" s="7" customFormat="1" ht="15.75" customHeight="1" x14ac:dyDescent="0.15"/>
    <row r="833" s="7" customFormat="1" ht="15.75" customHeight="1" x14ac:dyDescent="0.15"/>
    <row r="834" s="7" customFormat="1" ht="15.75" customHeight="1" x14ac:dyDescent="0.15"/>
    <row r="835" s="7" customFormat="1" ht="15.75" customHeight="1" x14ac:dyDescent="0.15"/>
    <row r="836" s="7" customFormat="1" ht="15.75" customHeight="1" x14ac:dyDescent="0.15"/>
    <row r="837" s="7" customFormat="1" ht="15.75" customHeight="1" x14ac:dyDescent="0.15"/>
    <row r="838" s="7" customFormat="1" ht="15.75" customHeight="1" x14ac:dyDescent="0.15"/>
    <row r="839" s="7" customFormat="1" ht="15.75" customHeight="1" x14ac:dyDescent="0.15"/>
    <row r="840" s="7" customFormat="1" ht="15.75" customHeight="1" x14ac:dyDescent="0.15"/>
    <row r="841" s="7" customFormat="1" ht="15.75" customHeight="1" x14ac:dyDescent="0.15"/>
    <row r="842" s="7" customFormat="1" ht="15.75" customHeight="1" x14ac:dyDescent="0.15"/>
    <row r="843" s="7" customFormat="1" ht="15.75" customHeight="1" x14ac:dyDescent="0.15"/>
    <row r="844" s="7" customFormat="1" ht="15.75" customHeight="1" x14ac:dyDescent="0.15"/>
    <row r="845" s="7" customFormat="1" ht="15.75" customHeight="1" x14ac:dyDescent="0.15"/>
    <row r="846" s="7" customFormat="1" ht="15.75" customHeight="1" x14ac:dyDescent="0.15"/>
    <row r="847" s="7" customFormat="1" ht="15.75" customHeight="1" x14ac:dyDescent="0.15"/>
    <row r="848" s="7" customFormat="1" ht="15.75" customHeight="1" x14ac:dyDescent="0.15"/>
    <row r="849" s="7" customFormat="1" ht="15.75" customHeight="1" x14ac:dyDescent="0.15"/>
    <row r="850" s="7" customFormat="1" ht="15.75" customHeight="1" x14ac:dyDescent="0.15"/>
    <row r="851" s="7" customFormat="1" ht="15.75" customHeight="1" x14ac:dyDescent="0.15"/>
    <row r="852" s="7" customFormat="1" ht="15.75" customHeight="1" x14ac:dyDescent="0.15"/>
    <row r="853" s="7" customFormat="1" ht="15.75" customHeight="1" x14ac:dyDescent="0.15"/>
    <row r="854" s="7" customFormat="1" ht="15.75" customHeight="1" x14ac:dyDescent="0.15"/>
    <row r="855" s="7" customFormat="1" ht="15.75" customHeight="1" x14ac:dyDescent="0.15"/>
    <row r="856" s="7" customFormat="1" ht="15.75" customHeight="1" x14ac:dyDescent="0.15"/>
    <row r="857" s="7" customFormat="1" ht="15.75" customHeight="1" x14ac:dyDescent="0.15"/>
    <row r="858" s="7" customFormat="1" ht="15.75" customHeight="1" x14ac:dyDescent="0.15"/>
    <row r="859" s="7" customFormat="1" ht="15.75" customHeight="1" x14ac:dyDescent="0.15"/>
    <row r="860" s="7" customFormat="1" ht="15.75" customHeight="1" x14ac:dyDescent="0.15"/>
    <row r="861" s="7" customFormat="1" ht="15.75" customHeight="1" x14ac:dyDescent="0.15"/>
    <row r="862" s="7" customFormat="1" ht="15.75" customHeight="1" x14ac:dyDescent="0.15"/>
    <row r="863" s="7" customFormat="1" ht="15.75" customHeight="1" x14ac:dyDescent="0.15"/>
    <row r="864" s="7" customFormat="1" ht="15.75" customHeight="1" x14ac:dyDescent="0.15"/>
    <row r="865" s="7" customFormat="1" ht="15.75" customHeight="1" x14ac:dyDescent="0.15"/>
    <row r="866" s="7" customFormat="1" ht="15.75" customHeight="1" x14ac:dyDescent="0.15"/>
    <row r="867" s="7" customFormat="1" ht="15.75" customHeight="1" x14ac:dyDescent="0.15"/>
    <row r="868" s="7" customFormat="1" ht="15.75" customHeight="1" x14ac:dyDescent="0.15"/>
    <row r="869" s="7" customFormat="1" ht="15.75" customHeight="1" x14ac:dyDescent="0.15"/>
    <row r="870" s="7" customFormat="1" ht="15.75" customHeight="1" x14ac:dyDescent="0.15"/>
    <row r="871" s="7" customFormat="1" ht="15.75" customHeight="1" x14ac:dyDescent="0.15"/>
    <row r="872" s="7" customFormat="1" ht="15.75" customHeight="1" x14ac:dyDescent="0.15"/>
    <row r="873" s="7" customFormat="1" ht="15.75" customHeight="1" x14ac:dyDescent="0.15"/>
    <row r="874" s="7" customFormat="1" ht="15.75" customHeight="1" x14ac:dyDescent="0.15"/>
    <row r="875" s="7" customFormat="1" ht="15.75" customHeight="1" x14ac:dyDescent="0.15"/>
    <row r="876" s="7" customFormat="1" ht="15.75" customHeight="1" x14ac:dyDescent="0.15"/>
    <row r="877" s="7" customFormat="1" ht="15.75" customHeight="1" x14ac:dyDescent="0.15"/>
    <row r="878" s="7" customFormat="1" ht="15.75" customHeight="1" x14ac:dyDescent="0.15"/>
    <row r="879" s="7" customFormat="1" ht="15.75" customHeight="1" x14ac:dyDescent="0.15"/>
    <row r="880" s="7" customFormat="1" ht="15.75" customHeight="1" x14ac:dyDescent="0.15"/>
    <row r="881" s="7" customFormat="1" ht="15.75" customHeight="1" x14ac:dyDescent="0.15"/>
    <row r="882" s="7" customFormat="1" ht="15.75" customHeight="1" x14ac:dyDescent="0.15"/>
    <row r="883" s="7" customFormat="1" ht="15.75" customHeight="1" x14ac:dyDescent="0.15"/>
    <row r="884" s="7" customFormat="1" ht="15.75" customHeight="1" x14ac:dyDescent="0.15"/>
    <row r="885" s="7" customFormat="1" ht="15.75" customHeight="1" x14ac:dyDescent="0.15"/>
    <row r="886" s="7" customFormat="1" ht="15.75" customHeight="1" x14ac:dyDescent="0.15"/>
    <row r="887" s="7" customFormat="1" ht="15.75" customHeight="1" x14ac:dyDescent="0.15"/>
    <row r="888" s="7" customFormat="1" ht="15.75" customHeight="1" x14ac:dyDescent="0.15"/>
    <row r="889" s="7" customFormat="1" ht="15.75" customHeight="1" x14ac:dyDescent="0.15"/>
    <row r="890" s="7" customFormat="1" ht="15.75" customHeight="1" x14ac:dyDescent="0.15"/>
    <row r="891" s="7" customFormat="1" ht="15.75" customHeight="1" x14ac:dyDescent="0.15"/>
    <row r="892" s="7" customFormat="1" ht="15.75" customHeight="1" x14ac:dyDescent="0.15"/>
    <row r="893" s="7" customFormat="1" ht="15.75" customHeight="1" x14ac:dyDescent="0.15"/>
    <row r="894" s="7" customFormat="1" ht="15.75" customHeight="1" x14ac:dyDescent="0.15"/>
    <row r="895" s="7" customFormat="1" ht="15.75" customHeight="1" x14ac:dyDescent="0.15"/>
    <row r="896" s="7" customFormat="1" ht="15.75" customHeight="1" x14ac:dyDescent="0.15"/>
    <row r="897" s="7" customFormat="1" ht="15.75" customHeight="1" x14ac:dyDescent="0.15"/>
    <row r="898" s="7" customFormat="1" ht="15.75" customHeight="1" x14ac:dyDescent="0.15"/>
    <row r="899" s="7" customFormat="1" ht="15.75" customHeight="1" x14ac:dyDescent="0.15"/>
    <row r="900" s="7" customFormat="1" ht="15.75" customHeight="1" x14ac:dyDescent="0.15"/>
    <row r="901" s="7" customFormat="1" ht="15.75" customHeight="1" x14ac:dyDescent="0.15"/>
    <row r="902" s="7" customFormat="1" ht="15.75" customHeight="1" x14ac:dyDescent="0.15"/>
    <row r="903" s="7" customFormat="1" ht="15.75" customHeight="1" x14ac:dyDescent="0.15"/>
    <row r="904" s="7" customFormat="1" ht="15.75" customHeight="1" x14ac:dyDescent="0.15"/>
    <row r="905" s="7" customFormat="1" ht="15.75" customHeight="1" x14ac:dyDescent="0.15"/>
    <row r="906" s="7" customFormat="1" ht="15.75" customHeight="1" x14ac:dyDescent="0.15"/>
    <row r="907" s="7" customFormat="1" ht="15.75" customHeight="1" x14ac:dyDescent="0.15"/>
    <row r="908" s="7" customFormat="1" ht="15.75" customHeight="1" x14ac:dyDescent="0.15"/>
    <row r="909" s="7" customFormat="1" ht="15.75" customHeight="1" x14ac:dyDescent="0.15"/>
    <row r="910" s="7" customFormat="1" ht="15.75" customHeight="1" x14ac:dyDescent="0.15"/>
    <row r="911" s="7" customFormat="1" ht="15.75" customHeight="1" x14ac:dyDescent="0.15"/>
    <row r="912" s="7" customFormat="1" ht="15.75" customHeight="1" x14ac:dyDescent="0.15"/>
    <row r="913" s="7" customFormat="1" ht="15.75" customHeight="1" x14ac:dyDescent="0.15"/>
    <row r="914" s="7" customFormat="1" ht="15.75" customHeight="1" x14ac:dyDescent="0.15"/>
    <row r="915" s="7" customFormat="1" ht="15.75" customHeight="1" x14ac:dyDescent="0.15"/>
    <row r="916" s="7" customFormat="1" ht="15.75" customHeight="1" x14ac:dyDescent="0.15"/>
    <row r="917" s="7" customFormat="1" ht="15.75" customHeight="1" x14ac:dyDescent="0.15"/>
    <row r="918" s="7" customFormat="1" ht="15.75" customHeight="1" x14ac:dyDescent="0.15"/>
    <row r="919" s="7" customFormat="1" ht="15.75" customHeight="1" x14ac:dyDescent="0.15"/>
    <row r="920" s="7" customFormat="1" ht="15.75" customHeight="1" x14ac:dyDescent="0.15"/>
    <row r="921" s="7" customFormat="1" ht="15.75" customHeight="1" x14ac:dyDescent="0.15"/>
    <row r="922" s="7" customFormat="1" ht="15.75" customHeight="1" x14ac:dyDescent="0.15"/>
    <row r="923" s="7" customFormat="1" ht="15.75" customHeight="1" x14ac:dyDescent="0.15"/>
    <row r="924" s="7" customFormat="1" ht="15.75" customHeight="1" x14ac:dyDescent="0.15"/>
    <row r="925" s="7" customFormat="1" ht="15.75" customHeight="1" x14ac:dyDescent="0.15"/>
    <row r="926" s="7" customFormat="1" ht="15.75" customHeight="1" x14ac:dyDescent="0.15"/>
    <row r="927" s="7" customFormat="1" ht="15.75" customHeight="1" x14ac:dyDescent="0.15"/>
    <row r="928" s="7" customFormat="1" ht="15.75" customHeight="1" x14ac:dyDescent="0.15"/>
    <row r="929" s="7" customFormat="1" ht="15.75" customHeight="1" x14ac:dyDescent="0.15"/>
    <row r="930" s="7" customFormat="1" ht="15.75" customHeight="1" x14ac:dyDescent="0.15"/>
    <row r="931" s="7" customFormat="1" ht="15.75" customHeight="1" x14ac:dyDescent="0.15"/>
    <row r="932" s="7" customFormat="1" ht="15.75" customHeight="1" x14ac:dyDescent="0.15"/>
    <row r="933" s="7" customFormat="1" ht="15.75" customHeight="1" x14ac:dyDescent="0.15"/>
    <row r="934" s="7" customFormat="1" ht="15.75" customHeight="1" x14ac:dyDescent="0.15"/>
    <row r="935" s="7" customFormat="1" ht="15.75" customHeight="1" x14ac:dyDescent="0.15"/>
    <row r="936" s="7" customFormat="1" ht="15.75" customHeight="1" x14ac:dyDescent="0.15"/>
    <row r="937" s="7" customFormat="1" ht="15.75" customHeight="1" x14ac:dyDescent="0.15"/>
    <row r="938" s="7" customFormat="1" ht="15.75" customHeight="1" x14ac:dyDescent="0.15"/>
    <row r="939" s="7" customFormat="1" ht="15.75" customHeight="1" x14ac:dyDescent="0.15"/>
    <row r="940" s="7" customFormat="1" ht="15.75" customHeight="1" x14ac:dyDescent="0.15"/>
    <row r="941" s="7" customFormat="1" ht="15.75" customHeight="1" x14ac:dyDescent="0.15"/>
    <row r="942" s="7" customFormat="1" ht="15.75" customHeight="1" x14ac:dyDescent="0.15"/>
    <row r="943" s="7" customFormat="1" ht="15.75" customHeight="1" x14ac:dyDescent="0.15"/>
    <row r="944" s="7" customFormat="1" ht="15.75" customHeight="1" x14ac:dyDescent="0.15"/>
    <row r="945" s="7" customFormat="1" ht="15.75" customHeight="1" x14ac:dyDescent="0.15"/>
    <row r="946" s="7" customFormat="1" ht="15.75" customHeight="1" x14ac:dyDescent="0.15"/>
    <row r="947" s="7" customFormat="1" ht="15.75" customHeight="1" x14ac:dyDescent="0.15"/>
    <row r="948" s="7" customFormat="1" ht="15.75" customHeight="1" x14ac:dyDescent="0.15"/>
    <row r="949" s="7" customFormat="1" ht="15.75" customHeight="1" x14ac:dyDescent="0.15"/>
    <row r="950" s="7" customFormat="1" ht="15.75" customHeight="1" x14ac:dyDescent="0.15"/>
    <row r="951" s="7" customFormat="1" ht="15.75" customHeight="1" x14ac:dyDescent="0.15"/>
    <row r="952" s="7" customFormat="1" ht="15.75" customHeight="1" x14ac:dyDescent="0.15"/>
    <row r="953" s="7" customFormat="1" ht="15.75" customHeight="1" x14ac:dyDescent="0.15"/>
    <row r="954" s="7" customFormat="1" ht="15.75" customHeight="1" x14ac:dyDescent="0.15"/>
    <row r="955" s="7" customFormat="1" ht="15.75" customHeight="1" x14ac:dyDescent="0.15"/>
    <row r="956" s="7" customFormat="1" ht="15.75" customHeight="1" x14ac:dyDescent="0.15"/>
    <row r="957" s="7" customFormat="1" ht="15.75" customHeight="1" x14ac:dyDescent="0.15"/>
    <row r="958" s="7" customFormat="1" ht="15.75" customHeight="1" x14ac:dyDescent="0.15"/>
    <row r="959" s="7" customFormat="1" ht="15.75" customHeight="1" x14ac:dyDescent="0.15"/>
    <row r="960" s="7" customFormat="1" ht="15.75" customHeight="1" x14ac:dyDescent="0.15"/>
    <row r="961" s="7" customFormat="1" ht="15.75" customHeight="1" x14ac:dyDescent="0.15"/>
    <row r="962" s="7" customFormat="1" ht="15.75" customHeight="1" x14ac:dyDescent="0.15"/>
    <row r="963" s="7" customFormat="1" ht="15.75" customHeight="1" x14ac:dyDescent="0.15"/>
    <row r="964" s="7" customFormat="1" ht="15.75" customHeight="1" x14ac:dyDescent="0.15"/>
    <row r="965" s="7" customFormat="1" ht="15.75" customHeight="1" x14ac:dyDescent="0.15"/>
    <row r="966" s="7" customFormat="1" ht="15.75" customHeight="1" x14ac:dyDescent="0.15"/>
    <row r="967" s="7" customFormat="1" ht="15.75" customHeight="1" x14ac:dyDescent="0.15"/>
    <row r="968" s="7" customFormat="1" ht="15.75" customHeight="1" x14ac:dyDescent="0.15"/>
    <row r="969" s="7" customFormat="1" ht="15.75" customHeight="1" x14ac:dyDescent="0.15"/>
    <row r="970" s="7" customFormat="1" ht="15.75" customHeight="1" x14ac:dyDescent="0.15"/>
    <row r="971" s="7" customFormat="1" ht="15.75" customHeight="1" x14ac:dyDescent="0.15"/>
    <row r="972" s="7" customFormat="1" ht="15.75" customHeight="1" x14ac:dyDescent="0.15"/>
    <row r="973" s="7" customFormat="1" ht="15.75" customHeight="1" x14ac:dyDescent="0.15"/>
    <row r="974" s="7" customFormat="1" ht="15.75" customHeight="1" x14ac:dyDescent="0.15"/>
    <row r="975" s="7" customFormat="1" ht="15.75" customHeight="1" x14ac:dyDescent="0.15"/>
    <row r="976" s="7" customFormat="1" ht="15.75" customHeight="1" x14ac:dyDescent="0.15"/>
    <row r="977" s="7" customFormat="1" ht="15.75" customHeight="1" x14ac:dyDescent="0.15"/>
    <row r="978" s="7" customFormat="1" ht="15.75" customHeight="1" x14ac:dyDescent="0.15"/>
    <row r="979" s="7" customFormat="1" ht="15.75" customHeight="1" x14ac:dyDescent="0.15"/>
    <row r="980" s="7" customFormat="1" ht="15.75" customHeight="1" x14ac:dyDescent="0.15"/>
    <row r="981" s="7" customFormat="1" ht="15.75" customHeight="1" x14ac:dyDescent="0.15"/>
    <row r="982" s="7" customFormat="1" ht="15.75" customHeight="1" x14ac:dyDescent="0.15"/>
    <row r="983" s="7" customFormat="1" ht="15.75" customHeight="1" x14ac:dyDescent="0.15"/>
    <row r="984" s="7" customFormat="1" ht="15.75" customHeight="1" x14ac:dyDescent="0.15"/>
    <row r="985" s="7" customFormat="1" ht="15.75" customHeight="1" x14ac:dyDescent="0.15"/>
    <row r="986" s="7" customFormat="1" ht="15.75" customHeight="1" x14ac:dyDescent="0.15"/>
    <row r="987" s="7" customFormat="1" ht="15.75" customHeight="1" x14ac:dyDescent="0.15"/>
    <row r="988" s="7" customFormat="1" ht="15.75" customHeight="1" x14ac:dyDescent="0.15"/>
    <row r="989" s="7" customFormat="1" ht="15.75" customHeight="1" x14ac:dyDescent="0.15"/>
    <row r="990" s="7" customFormat="1" ht="15.75" customHeight="1" x14ac:dyDescent="0.15"/>
    <row r="991" s="7" customFormat="1" ht="15.75" customHeight="1" x14ac:dyDescent="0.15"/>
    <row r="992" s="7" customFormat="1" ht="15.75" customHeight="1" x14ac:dyDescent="0.15"/>
    <row r="993" s="7" customFormat="1" ht="15.75" customHeight="1" x14ac:dyDescent="0.15"/>
    <row r="994" s="7" customFormat="1" ht="15.75" customHeight="1" x14ac:dyDescent="0.15"/>
    <row r="995" s="7" customFormat="1" ht="15.75" customHeight="1" x14ac:dyDescent="0.15"/>
    <row r="996" s="7" customFormat="1" ht="15.75" customHeight="1" x14ac:dyDescent="0.15"/>
    <row r="997" s="7" customFormat="1" ht="15.75" customHeight="1" x14ac:dyDescent="0.15"/>
    <row r="998" s="7" customFormat="1" ht="15.75" customHeight="1" x14ac:dyDescent="0.15"/>
    <row r="999" s="7" customFormat="1" ht="15.75" customHeight="1" x14ac:dyDescent="0.15"/>
    <row r="1000" s="7" customFormat="1" ht="15.75" customHeight="1" x14ac:dyDescent="0.15"/>
    <row r="1001" s="7" customFormat="1" ht="15.75" customHeight="1" x14ac:dyDescent="0.15"/>
    <row r="1002" s="7" customFormat="1" ht="15.75" customHeight="1" x14ac:dyDescent="0.15"/>
    <row r="1003" s="7" customFormat="1" ht="15.75" customHeight="1" x14ac:dyDescent="0.15"/>
  </sheetData>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sheetPr>
  <dimension ref="A1:AT998"/>
  <sheetViews>
    <sheetView showGridLines="0" zoomScaleNormal="100" workbookViewId="0">
      <pane xSplit="1" topLeftCell="B1" activePane="topRight" state="frozen"/>
      <selection activeCell="O24" sqref="O24"/>
      <selection pane="topRight" activeCell="A3" sqref="A3:XFD3"/>
    </sheetView>
  </sheetViews>
  <sheetFormatPr baseColWidth="10" defaultColWidth="12.5" defaultRowHeight="15" customHeight="1" x14ac:dyDescent="0.15"/>
  <cols>
    <col min="1" max="1" width="49" style="8" customWidth="1"/>
    <col min="2" max="2" width="18.83203125" style="8" customWidth="1"/>
    <col min="3" max="4" width="14.6640625" style="8" customWidth="1"/>
    <col min="5" max="7" width="17.33203125" style="8" customWidth="1"/>
    <col min="8" max="20" width="13.83203125" style="8" customWidth="1"/>
    <col min="21" max="22" width="12" style="8" customWidth="1"/>
    <col min="23" max="25" width="13.5" style="8" customWidth="1"/>
    <col min="26" max="26" width="15.6640625" style="8" customWidth="1"/>
    <col min="27" max="27" width="14.5" style="8" customWidth="1"/>
    <col min="28" max="28" width="14.33203125" style="8" customWidth="1"/>
    <col min="29" max="29" width="13" style="8" customWidth="1"/>
    <col min="30" max="31" width="15" style="8" customWidth="1"/>
    <col min="32" max="34" width="13.83203125" style="8" customWidth="1"/>
    <col min="35" max="46" width="12" style="8" customWidth="1"/>
    <col min="47" max="16384" width="12.5" style="8"/>
  </cols>
  <sheetData>
    <row r="1" spans="1:46" ht="120" customHeight="1" thickBot="1" x14ac:dyDescent="0.2">
      <c r="A1" s="126" t="s">
        <v>70</v>
      </c>
      <c r="B1" s="195"/>
      <c r="C1" s="195"/>
      <c r="D1" s="195"/>
      <c r="E1" s="195"/>
      <c r="F1" s="195"/>
      <c r="G1" s="195"/>
      <c r="H1" s="195"/>
      <c r="I1" s="195"/>
    </row>
    <row r="2" spans="1:46" s="14" customFormat="1" ht="146" customHeight="1" thickBot="1" x14ac:dyDescent="0.2">
      <c r="A2" s="179" t="s">
        <v>97</v>
      </c>
      <c r="B2" s="9" t="s">
        <v>95</v>
      </c>
      <c r="C2" s="10" t="s">
        <v>13</v>
      </c>
      <c r="D2" s="10" t="s">
        <v>14</v>
      </c>
      <c r="E2" s="11" t="s">
        <v>15</v>
      </c>
      <c r="F2" s="11" t="s">
        <v>19</v>
      </c>
      <c r="G2" s="11" t="s">
        <v>20</v>
      </c>
      <c r="H2" s="10" t="s">
        <v>51</v>
      </c>
      <c r="I2" s="10" t="s">
        <v>52</v>
      </c>
      <c r="J2" s="10" t="s">
        <v>53</v>
      </c>
      <c r="K2" s="11" t="s">
        <v>54</v>
      </c>
      <c r="L2" s="11" t="s">
        <v>55</v>
      </c>
      <c r="M2" s="11" t="s">
        <v>56</v>
      </c>
      <c r="N2" s="10" t="s">
        <v>16</v>
      </c>
      <c r="O2" s="10" t="s">
        <v>21</v>
      </c>
      <c r="P2" s="10" t="s">
        <v>22</v>
      </c>
      <c r="Q2" s="11" t="s">
        <v>60</v>
      </c>
      <c r="R2" s="11" t="s">
        <v>61</v>
      </c>
      <c r="S2" s="11" t="s">
        <v>62</v>
      </c>
      <c r="T2" s="10" t="s">
        <v>57</v>
      </c>
      <c r="U2" s="10" t="s">
        <v>58</v>
      </c>
      <c r="V2" s="10" t="s">
        <v>59</v>
      </c>
      <c r="W2" s="11" t="s">
        <v>66</v>
      </c>
      <c r="X2" s="11" t="s">
        <v>67</v>
      </c>
      <c r="Y2" s="11" t="s">
        <v>68</v>
      </c>
      <c r="Z2" s="10" t="s">
        <v>17</v>
      </c>
      <c r="AA2" s="10" t="s">
        <v>23</v>
      </c>
      <c r="AB2" s="10" t="s">
        <v>24</v>
      </c>
      <c r="AC2" s="11" t="s">
        <v>63</v>
      </c>
      <c r="AD2" s="11" t="s">
        <v>64</v>
      </c>
      <c r="AE2" s="11" t="s">
        <v>65</v>
      </c>
      <c r="AF2" s="10" t="s">
        <v>18</v>
      </c>
      <c r="AG2" s="10" t="s">
        <v>25</v>
      </c>
      <c r="AH2" s="12" t="s">
        <v>26</v>
      </c>
      <c r="AI2" s="13"/>
      <c r="AJ2" s="13"/>
      <c r="AK2" s="13"/>
      <c r="AL2" s="13"/>
      <c r="AM2" s="13"/>
      <c r="AN2" s="13"/>
      <c r="AO2" s="13"/>
      <c r="AP2" s="13"/>
      <c r="AQ2" s="13"/>
      <c r="AR2" s="13"/>
      <c r="AS2" s="13"/>
      <c r="AT2" s="13"/>
    </row>
    <row r="3" spans="1:46" ht="17" customHeight="1" x14ac:dyDescent="0.2">
      <c r="A3" s="128" t="s">
        <v>94</v>
      </c>
      <c r="B3" s="171"/>
      <c r="C3" s="17"/>
      <c r="D3" s="17"/>
      <c r="E3" s="18"/>
      <c r="F3" s="19"/>
      <c r="G3" s="20"/>
      <c r="H3" s="21"/>
      <c r="I3" s="22"/>
      <c r="J3" s="22"/>
      <c r="K3" s="23"/>
      <c r="L3" s="19"/>
      <c r="M3" s="19"/>
      <c r="N3" s="24"/>
      <c r="O3" s="22"/>
      <c r="P3" s="22"/>
      <c r="Q3" s="25"/>
      <c r="R3" s="19"/>
      <c r="S3" s="19"/>
      <c r="T3" s="21"/>
      <c r="U3" s="22"/>
      <c r="V3" s="22"/>
      <c r="W3" s="25"/>
      <c r="X3" s="19"/>
      <c r="Y3" s="19"/>
      <c r="Z3" s="21"/>
      <c r="AA3" s="22"/>
      <c r="AB3" s="22"/>
      <c r="AC3" s="23"/>
      <c r="AD3" s="19"/>
      <c r="AE3" s="19"/>
      <c r="AF3" s="26"/>
      <c r="AG3" s="22"/>
      <c r="AH3" s="22"/>
      <c r="AI3" s="27"/>
      <c r="AJ3" s="28"/>
      <c r="AK3" s="27"/>
      <c r="AL3" s="27"/>
      <c r="AM3" s="27"/>
      <c r="AN3" s="27"/>
      <c r="AO3" s="27"/>
      <c r="AP3" s="27"/>
      <c r="AQ3" s="27"/>
      <c r="AR3" s="27"/>
      <c r="AS3" s="27"/>
      <c r="AT3" s="27"/>
    </row>
    <row r="4" spans="1:46" ht="17" customHeight="1" x14ac:dyDescent="0.2">
      <c r="A4" s="128" t="s">
        <v>0</v>
      </c>
      <c r="B4" s="172"/>
      <c r="C4" s="29"/>
      <c r="D4" s="29"/>
      <c r="E4" s="30"/>
      <c r="F4" s="31"/>
      <c r="G4" s="32"/>
      <c r="H4" s="33"/>
      <c r="I4" s="34"/>
      <c r="J4" s="34"/>
      <c r="K4" s="35"/>
      <c r="L4" s="31"/>
      <c r="M4" s="31"/>
      <c r="N4" s="36"/>
      <c r="O4" s="34"/>
      <c r="P4" s="34"/>
      <c r="Q4" s="37"/>
      <c r="R4" s="31"/>
      <c r="S4" s="31"/>
      <c r="T4" s="33"/>
      <c r="U4" s="34"/>
      <c r="V4" s="34"/>
      <c r="W4" s="37"/>
      <c r="X4" s="31"/>
      <c r="Y4" s="31"/>
      <c r="Z4" s="33"/>
      <c r="AA4" s="34"/>
      <c r="AB4" s="34"/>
      <c r="AC4" s="35"/>
      <c r="AD4" s="31"/>
      <c r="AE4" s="31"/>
      <c r="AF4" s="38"/>
      <c r="AG4" s="34"/>
      <c r="AH4" s="34"/>
      <c r="AI4" s="27"/>
      <c r="AJ4" s="27"/>
      <c r="AK4" s="27"/>
      <c r="AL4" s="27"/>
      <c r="AM4" s="27"/>
      <c r="AN4" s="27"/>
      <c r="AO4" s="27"/>
      <c r="AP4" s="27"/>
      <c r="AQ4" s="27"/>
      <c r="AR4" s="27"/>
      <c r="AS4" s="27"/>
      <c r="AT4" s="27"/>
    </row>
    <row r="5" spans="1:46" ht="17" customHeight="1" x14ac:dyDescent="0.2">
      <c r="A5" s="128" t="s">
        <v>2</v>
      </c>
      <c r="B5" s="172"/>
      <c r="C5" s="29"/>
      <c r="D5" s="29"/>
      <c r="E5" s="30"/>
      <c r="F5" s="31"/>
      <c r="G5" s="31"/>
      <c r="H5" s="33"/>
      <c r="I5" s="34"/>
      <c r="J5" s="34"/>
      <c r="K5" s="35"/>
      <c r="L5" s="31"/>
      <c r="M5" s="31"/>
      <c r="N5" s="36"/>
      <c r="O5" s="34"/>
      <c r="P5" s="34"/>
      <c r="Q5" s="37"/>
      <c r="R5" s="31"/>
      <c r="S5" s="31"/>
      <c r="T5" s="33"/>
      <c r="U5" s="34"/>
      <c r="V5" s="34"/>
      <c r="W5" s="37"/>
      <c r="X5" s="31"/>
      <c r="Y5" s="31"/>
      <c r="Z5" s="33"/>
      <c r="AA5" s="34"/>
      <c r="AB5" s="34"/>
      <c r="AC5" s="35"/>
      <c r="AD5" s="31"/>
      <c r="AE5" s="31"/>
      <c r="AF5" s="38"/>
      <c r="AG5" s="34"/>
      <c r="AH5" s="34"/>
      <c r="AI5" s="27"/>
      <c r="AJ5" s="27"/>
      <c r="AK5" s="27"/>
      <c r="AL5" s="27"/>
      <c r="AM5" s="27"/>
      <c r="AN5" s="27"/>
      <c r="AO5" s="27"/>
      <c r="AP5" s="27"/>
      <c r="AQ5" s="27"/>
      <c r="AR5" s="27"/>
      <c r="AS5" s="27"/>
      <c r="AT5" s="27"/>
    </row>
    <row r="6" spans="1:46" ht="17" customHeight="1" x14ac:dyDescent="0.2">
      <c r="A6" s="128" t="s">
        <v>3</v>
      </c>
      <c r="B6" s="172"/>
      <c r="C6" s="29"/>
      <c r="D6" s="29"/>
      <c r="E6" s="30"/>
      <c r="F6" s="31"/>
      <c r="G6" s="31"/>
      <c r="H6" s="33"/>
      <c r="I6" s="34"/>
      <c r="J6" s="34"/>
      <c r="K6" s="35"/>
      <c r="L6" s="31"/>
      <c r="M6" s="31"/>
      <c r="N6" s="36"/>
      <c r="O6" s="34"/>
      <c r="P6" s="34"/>
      <c r="Q6" s="37"/>
      <c r="R6" s="31"/>
      <c r="S6" s="31"/>
      <c r="T6" s="33"/>
      <c r="U6" s="34"/>
      <c r="V6" s="34"/>
      <c r="W6" s="37"/>
      <c r="X6" s="31"/>
      <c r="Y6" s="31"/>
      <c r="Z6" s="33"/>
      <c r="AA6" s="34"/>
      <c r="AB6" s="34"/>
      <c r="AC6" s="35"/>
      <c r="AD6" s="31"/>
      <c r="AE6" s="31"/>
      <c r="AF6" s="38"/>
      <c r="AG6" s="34"/>
      <c r="AH6" s="34"/>
      <c r="AI6" s="27"/>
      <c r="AJ6" s="27"/>
      <c r="AK6" s="27"/>
      <c r="AL6" s="27"/>
      <c r="AM6" s="27"/>
      <c r="AN6" s="27"/>
      <c r="AO6" s="27"/>
      <c r="AP6" s="27"/>
      <c r="AQ6" s="27"/>
      <c r="AR6" s="27"/>
      <c r="AS6" s="27"/>
      <c r="AT6" s="27"/>
    </row>
    <row r="7" spans="1:46" ht="17" customHeight="1" x14ac:dyDescent="0.2">
      <c r="A7" s="128" t="s">
        <v>5</v>
      </c>
      <c r="B7" s="172"/>
      <c r="C7" s="29"/>
      <c r="D7" s="29"/>
      <c r="E7" s="30"/>
      <c r="F7" s="31"/>
      <c r="G7" s="31"/>
      <c r="H7" s="33"/>
      <c r="I7" s="34"/>
      <c r="J7" s="34"/>
      <c r="K7" s="35"/>
      <c r="L7" s="31"/>
      <c r="M7" s="31"/>
      <c r="N7" s="36"/>
      <c r="O7" s="34"/>
      <c r="P7" s="34"/>
      <c r="Q7" s="37"/>
      <c r="R7" s="31"/>
      <c r="S7" s="31"/>
      <c r="T7" s="33"/>
      <c r="U7" s="34"/>
      <c r="V7" s="34"/>
      <c r="W7" s="37"/>
      <c r="X7" s="31"/>
      <c r="Y7" s="31"/>
      <c r="Z7" s="33"/>
      <c r="AA7" s="34"/>
      <c r="AB7" s="34"/>
      <c r="AC7" s="35"/>
      <c r="AD7" s="31"/>
      <c r="AE7" s="31"/>
      <c r="AF7" s="38"/>
      <c r="AG7" s="34"/>
      <c r="AH7" s="34"/>
      <c r="AI7" s="27"/>
      <c r="AJ7" s="27"/>
      <c r="AK7" s="27"/>
      <c r="AL7" s="27"/>
      <c r="AM7" s="27"/>
      <c r="AN7" s="27"/>
      <c r="AO7" s="27"/>
      <c r="AP7" s="27"/>
      <c r="AQ7" s="27"/>
      <c r="AR7" s="27"/>
      <c r="AS7" s="27"/>
      <c r="AT7" s="27"/>
    </row>
    <row r="8" spans="1:46" ht="17" customHeight="1" x14ac:dyDescent="0.2">
      <c r="A8" s="128" t="s">
        <v>6</v>
      </c>
      <c r="B8" s="172"/>
      <c r="C8" s="29"/>
      <c r="D8" s="29"/>
      <c r="E8" s="30"/>
      <c r="F8" s="31"/>
      <c r="G8" s="31"/>
      <c r="H8" s="33"/>
      <c r="I8" s="34"/>
      <c r="J8" s="34"/>
      <c r="K8" s="35"/>
      <c r="L8" s="31"/>
      <c r="M8" s="31"/>
      <c r="N8" s="36"/>
      <c r="O8" s="34"/>
      <c r="P8" s="34"/>
      <c r="Q8" s="37"/>
      <c r="R8" s="31"/>
      <c r="S8" s="31"/>
      <c r="T8" s="33"/>
      <c r="U8" s="34"/>
      <c r="V8" s="34"/>
      <c r="W8" s="37"/>
      <c r="X8" s="31"/>
      <c r="Y8" s="31"/>
      <c r="Z8" s="33"/>
      <c r="AA8" s="34"/>
      <c r="AB8" s="34"/>
      <c r="AC8" s="35"/>
      <c r="AD8" s="31"/>
      <c r="AE8" s="31"/>
      <c r="AF8" s="38"/>
      <c r="AG8" s="34"/>
      <c r="AH8" s="34"/>
      <c r="AI8" s="27"/>
      <c r="AJ8" s="27"/>
      <c r="AK8" s="27"/>
      <c r="AL8" s="27"/>
      <c r="AM8" s="27"/>
      <c r="AN8" s="27"/>
      <c r="AO8" s="27"/>
      <c r="AP8" s="27"/>
      <c r="AQ8" s="27"/>
      <c r="AR8" s="27"/>
      <c r="AS8" s="27"/>
      <c r="AT8" s="27"/>
    </row>
    <row r="9" spans="1:46" ht="17" customHeight="1" x14ac:dyDescent="0.2">
      <c r="A9" s="128" t="s">
        <v>7</v>
      </c>
      <c r="B9" s="172"/>
      <c r="C9" s="29"/>
      <c r="D9" s="29"/>
      <c r="E9" s="30"/>
      <c r="F9" s="31"/>
      <c r="G9" s="31"/>
      <c r="H9" s="33"/>
      <c r="I9" s="34"/>
      <c r="J9" s="34"/>
      <c r="K9" s="35"/>
      <c r="L9" s="31"/>
      <c r="M9" s="31"/>
      <c r="N9" s="36"/>
      <c r="O9" s="34"/>
      <c r="P9" s="34"/>
      <c r="Q9" s="37"/>
      <c r="R9" s="31"/>
      <c r="S9" s="31"/>
      <c r="T9" s="33"/>
      <c r="U9" s="34"/>
      <c r="V9" s="34"/>
      <c r="W9" s="37"/>
      <c r="X9" s="31"/>
      <c r="Y9" s="31"/>
      <c r="Z9" s="33"/>
      <c r="AA9" s="34"/>
      <c r="AB9" s="34"/>
      <c r="AC9" s="35"/>
      <c r="AD9" s="31"/>
      <c r="AE9" s="31"/>
      <c r="AF9" s="38"/>
      <c r="AG9" s="34"/>
      <c r="AH9" s="34"/>
      <c r="AI9" s="27"/>
      <c r="AJ9" s="27"/>
      <c r="AK9" s="27"/>
      <c r="AL9" s="27"/>
      <c r="AM9" s="27"/>
      <c r="AN9" s="27"/>
      <c r="AO9" s="27"/>
      <c r="AP9" s="27"/>
      <c r="AQ9" s="27"/>
      <c r="AR9" s="27"/>
      <c r="AS9" s="27"/>
      <c r="AT9" s="27"/>
    </row>
    <row r="10" spans="1:46" ht="17" customHeight="1" x14ac:dyDescent="0.2">
      <c r="A10" s="128" t="s">
        <v>8</v>
      </c>
      <c r="B10" s="172"/>
      <c r="C10" s="29"/>
      <c r="D10" s="29"/>
      <c r="E10" s="30"/>
      <c r="F10" s="31"/>
      <c r="G10" s="31"/>
      <c r="H10" s="33"/>
      <c r="I10" s="34"/>
      <c r="J10" s="34"/>
      <c r="K10" s="35"/>
      <c r="L10" s="31"/>
      <c r="M10" s="31"/>
      <c r="N10" s="36"/>
      <c r="O10" s="34"/>
      <c r="P10" s="34"/>
      <c r="Q10" s="37"/>
      <c r="R10" s="31"/>
      <c r="S10" s="31"/>
      <c r="T10" s="33"/>
      <c r="U10" s="34"/>
      <c r="V10" s="34"/>
      <c r="W10" s="37"/>
      <c r="X10" s="31"/>
      <c r="Y10" s="31"/>
      <c r="Z10" s="33"/>
      <c r="AA10" s="34"/>
      <c r="AB10" s="34"/>
      <c r="AC10" s="35"/>
      <c r="AD10" s="31"/>
      <c r="AE10" s="31"/>
      <c r="AF10" s="38"/>
      <c r="AG10" s="34"/>
      <c r="AH10" s="34"/>
      <c r="AI10" s="27"/>
      <c r="AJ10" s="27"/>
      <c r="AK10" s="27"/>
      <c r="AL10" s="27"/>
      <c r="AM10" s="27"/>
      <c r="AN10" s="27"/>
      <c r="AO10" s="27"/>
      <c r="AP10" s="27"/>
      <c r="AQ10" s="27"/>
      <c r="AR10" s="27"/>
      <c r="AS10" s="27"/>
      <c r="AT10" s="27"/>
    </row>
    <row r="11" spans="1:46" ht="17" customHeight="1" x14ac:dyDescent="0.2">
      <c r="A11" s="128" t="s">
        <v>9</v>
      </c>
      <c r="B11" s="172"/>
      <c r="C11" s="29"/>
      <c r="D11" s="29"/>
      <c r="E11" s="30"/>
      <c r="F11" s="31"/>
      <c r="G11" s="31"/>
      <c r="H11" s="33"/>
      <c r="I11" s="34"/>
      <c r="J11" s="34"/>
      <c r="K11" s="35"/>
      <c r="L11" s="31"/>
      <c r="M11" s="31"/>
      <c r="N11" s="36"/>
      <c r="O11" s="34"/>
      <c r="P11" s="34"/>
      <c r="Q11" s="37"/>
      <c r="R11" s="31"/>
      <c r="S11" s="31"/>
      <c r="T11" s="33"/>
      <c r="U11" s="34"/>
      <c r="V11" s="34"/>
      <c r="W11" s="37"/>
      <c r="X11" s="31"/>
      <c r="Y11" s="31"/>
      <c r="Z11" s="33"/>
      <c r="AA11" s="34"/>
      <c r="AB11" s="34"/>
      <c r="AC11" s="35"/>
      <c r="AD11" s="31"/>
      <c r="AE11" s="31"/>
      <c r="AF11" s="38"/>
      <c r="AG11" s="34"/>
      <c r="AH11" s="34"/>
      <c r="AI11" s="27"/>
      <c r="AJ11" s="27"/>
      <c r="AK11" s="27"/>
      <c r="AL11" s="27"/>
      <c r="AM11" s="27"/>
      <c r="AN11" s="27"/>
      <c r="AO11" s="27"/>
      <c r="AP11" s="27"/>
      <c r="AQ11" s="27"/>
      <c r="AR11" s="27"/>
      <c r="AS11" s="27"/>
      <c r="AT11" s="27"/>
    </row>
    <row r="12" spans="1:46" ht="17" customHeight="1" x14ac:dyDescent="0.2">
      <c r="A12" s="128" t="s">
        <v>10</v>
      </c>
      <c r="B12" s="172"/>
      <c r="C12" s="29"/>
      <c r="D12" s="29"/>
      <c r="E12" s="30"/>
      <c r="F12" s="31"/>
      <c r="G12" s="31"/>
      <c r="H12" s="33"/>
      <c r="I12" s="34"/>
      <c r="J12" s="34"/>
      <c r="K12" s="35"/>
      <c r="L12" s="31"/>
      <c r="M12" s="31"/>
      <c r="N12" s="36"/>
      <c r="O12" s="34"/>
      <c r="P12" s="34"/>
      <c r="Q12" s="37"/>
      <c r="R12" s="31"/>
      <c r="S12" s="31"/>
      <c r="T12" s="33"/>
      <c r="U12" s="34"/>
      <c r="V12" s="34"/>
      <c r="W12" s="37"/>
      <c r="X12" s="31"/>
      <c r="Y12" s="31"/>
      <c r="Z12" s="33"/>
      <c r="AA12" s="34"/>
      <c r="AB12" s="34"/>
      <c r="AC12" s="35"/>
      <c r="AD12" s="31"/>
      <c r="AE12" s="31"/>
      <c r="AF12" s="38"/>
      <c r="AG12" s="34"/>
      <c r="AH12" s="34"/>
      <c r="AI12" s="27"/>
      <c r="AJ12" s="27"/>
      <c r="AK12" s="27"/>
      <c r="AL12" s="27"/>
      <c r="AM12" s="27"/>
      <c r="AN12" s="27"/>
      <c r="AO12" s="27"/>
      <c r="AP12" s="27"/>
      <c r="AQ12" s="27"/>
      <c r="AR12" s="27"/>
      <c r="AS12" s="27"/>
      <c r="AT12" s="27"/>
    </row>
    <row r="13" spans="1:46" ht="17" customHeight="1" x14ac:dyDescent="0.2">
      <c r="A13" s="128" t="s">
        <v>11</v>
      </c>
      <c r="B13" s="172"/>
      <c r="C13" s="29"/>
      <c r="D13" s="29"/>
      <c r="E13" s="30"/>
      <c r="F13" s="31"/>
      <c r="G13" s="31"/>
      <c r="H13" s="33"/>
      <c r="I13" s="34"/>
      <c r="J13" s="34"/>
      <c r="K13" s="35"/>
      <c r="L13" s="31"/>
      <c r="M13" s="31"/>
      <c r="N13" s="36"/>
      <c r="O13" s="34"/>
      <c r="P13" s="34"/>
      <c r="Q13" s="37"/>
      <c r="R13" s="31"/>
      <c r="S13" s="31"/>
      <c r="T13" s="33"/>
      <c r="U13" s="34"/>
      <c r="V13" s="34"/>
      <c r="W13" s="37"/>
      <c r="X13" s="31"/>
      <c r="Y13" s="31"/>
      <c r="Z13" s="33"/>
      <c r="AA13" s="34"/>
      <c r="AB13" s="34"/>
      <c r="AC13" s="35"/>
      <c r="AD13" s="31"/>
      <c r="AE13" s="31"/>
      <c r="AF13" s="38"/>
      <c r="AG13" s="34"/>
      <c r="AH13" s="34"/>
      <c r="AI13" s="27"/>
      <c r="AJ13" s="27"/>
      <c r="AK13" s="27"/>
      <c r="AL13" s="27"/>
      <c r="AM13" s="27"/>
      <c r="AN13" s="27"/>
      <c r="AO13" s="27"/>
      <c r="AP13" s="27"/>
      <c r="AQ13" s="27"/>
      <c r="AR13" s="27"/>
      <c r="AS13" s="27"/>
      <c r="AT13" s="27"/>
    </row>
    <row r="14" spans="1:46" ht="17" customHeight="1" x14ac:dyDescent="0.2">
      <c r="A14" s="128" t="s">
        <v>12</v>
      </c>
      <c r="B14" s="172"/>
      <c r="C14" s="29"/>
      <c r="D14" s="29"/>
      <c r="E14" s="30"/>
      <c r="F14" s="31"/>
      <c r="G14" s="31"/>
      <c r="H14" s="33"/>
      <c r="I14" s="34"/>
      <c r="J14" s="34"/>
      <c r="K14" s="35"/>
      <c r="L14" s="31"/>
      <c r="M14" s="31"/>
      <c r="N14" s="36"/>
      <c r="O14" s="34"/>
      <c r="P14" s="34"/>
      <c r="Q14" s="37"/>
      <c r="R14" s="31"/>
      <c r="S14" s="31"/>
      <c r="T14" s="33"/>
      <c r="U14" s="34"/>
      <c r="V14" s="34"/>
      <c r="W14" s="37"/>
      <c r="X14" s="31"/>
      <c r="Y14" s="31"/>
      <c r="Z14" s="33"/>
      <c r="AA14" s="34"/>
      <c r="AB14" s="34"/>
      <c r="AC14" s="35"/>
      <c r="AD14" s="31"/>
      <c r="AE14" s="31"/>
      <c r="AF14" s="38"/>
      <c r="AG14" s="34"/>
      <c r="AH14" s="34"/>
      <c r="AI14" s="27"/>
      <c r="AJ14" s="27"/>
      <c r="AK14" s="27"/>
      <c r="AL14" s="27"/>
      <c r="AM14" s="27"/>
      <c r="AN14" s="27"/>
      <c r="AO14" s="27"/>
      <c r="AP14" s="27"/>
      <c r="AQ14" s="27"/>
      <c r="AR14" s="27"/>
      <c r="AS14" s="27"/>
      <c r="AT14" s="27"/>
    </row>
    <row r="15" spans="1:46" ht="14.25" customHeight="1" x14ac:dyDescent="0.1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row>
    <row r="16" spans="1:46" ht="14.25" customHeight="1" x14ac:dyDescent="0.15">
      <c r="A16" s="39" t="str">
        <f>IF(SUM(B17:AH31)&gt;=1,"Possible input error(s):","")</f>
        <v/>
      </c>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row>
    <row r="17" spans="1:46" ht="14.25" customHeight="1" x14ac:dyDescent="0.15">
      <c r="A17" s="40" t="str">
        <f>IF(SUM(B17:AH17)=0,"",A3&amp;" Sum &lt;&gt; Entered total. Should be:")</f>
        <v/>
      </c>
      <c r="B17" s="41" t="str">
        <f>IF(B3=SUM(E3,H3,K3,N3,Q3,T3),"",SUM(E3,H3,K3,N3,Q3,T3))</f>
        <v/>
      </c>
      <c r="C17" s="42" t="str">
        <f t="shared" ref="C17:D28" si="0">IF(C3=SUM(F3,I3,L3,O3,R3,U3),"",SUM(F3,I3,L3,O3,R3,U3))</f>
        <v/>
      </c>
      <c r="D17" s="42" t="str">
        <f t="shared" si="0"/>
        <v/>
      </c>
      <c r="E17" s="43" t="str">
        <f>IF(SUM(F3:G3)=E3,"",SUM(F3:G3))</f>
        <v/>
      </c>
      <c r="F17" s="43"/>
      <c r="G17" s="43"/>
      <c r="H17" s="43" t="str">
        <f>IF(SUM(I3:J3)=H3,"",SUM(I3:J3))</f>
        <v/>
      </c>
      <c r="I17" s="43"/>
      <c r="J17" s="43"/>
      <c r="K17" s="43" t="str">
        <f>IF(SUM(L3:M3)=K3,"",SUM(L3:M3))</f>
        <v/>
      </c>
      <c r="L17" s="43"/>
      <c r="M17" s="43"/>
      <c r="N17" s="43" t="str">
        <f>IF(SUM(O3:P3)=N3,"",SUM(O3:P3))</f>
        <v/>
      </c>
      <c r="O17" s="43"/>
      <c r="P17" s="43"/>
      <c r="Q17" s="43" t="str">
        <f>IF(SUM(R3:S3)=Q3,"",SUM(R3:S3))</f>
        <v/>
      </c>
      <c r="R17" s="43"/>
      <c r="S17" s="43"/>
      <c r="T17" s="43" t="str">
        <f>IF(SUM(U3:V3)=T3,"",SUM(U3:V3))</f>
        <v/>
      </c>
      <c r="U17" s="43"/>
      <c r="V17" s="43"/>
      <c r="W17" s="43" t="str">
        <f>IF(SUM(X3:Y3)=W3,"",SUM(X3:Y3))</f>
        <v/>
      </c>
      <c r="X17" s="43"/>
      <c r="Y17" s="43"/>
      <c r="Z17" s="43" t="str">
        <f>IF(SUM(AA3:AB3)=Z3,"",SUM(AA3:AB3))</f>
        <v/>
      </c>
      <c r="AA17" s="43"/>
      <c r="AB17" s="43"/>
      <c r="AC17" s="43" t="str">
        <f>IF(SUM(AD3:AE3)=AC3,"",SUM(AD3:AE3))</f>
        <v/>
      </c>
      <c r="AD17" s="43"/>
      <c r="AE17" s="43"/>
      <c r="AF17" s="43" t="str">
        <f>IF(SUM(AG3:AH3)=AF3,"",SUM(AG3:AH3))</f>
        <v/>
      </c>
      <c r="AG17" s="43"/>
      <c r="AH17" s="43"/>
      <c r="AI17" s="27"/>
      <c r="AJ17" s="27"/>
      <c r="AK17" s="27"/>
      <c r="AL17" s="27"/>
      <c r="AM17" s="27"/>
      <c r="AN17" s="27"/>
      <c r="AO17" s="27"/>
      <c r="AP17" s="27"/>
      <c r="AQ17" s="27"/>
      <c r="AR17" s="27"/>
      <c r="AS17" s="27"/>
      <c r="AT17" s="27"/>
    </row>
    <row r="18" spans="1:46" ht="14.25" customHeight="1" x14ac:dyDescent="0.15">
      <c r="A18" s="40" t="str">
        <f t="shared" ref="A18:A28" si="1">IF(SUM(B18:AH18)=0,"",A4&amp;" Sum &lt;&gt; Entered total. Should be:")</f>
        <v/>
      </c>
      <c r="B18" s="41" t="str">
        <f t="shared" ref="B18:B28" si="2">IF(B4=SUM(E4,H4,K4,N4,Q4,T4),"",SUM(E4,H4,K4,N4,Q4,T4))</f>
        <v/>
      </c>
      <c r="C18" s="42" t="str">
        <f t="shared" si="0"/>
        <v/>
      </c>
      <c r="D18" s="42" t="str">
        <f t="shared" si="0"/>
        <v/>
      </c>
      <c r="E18" s="43" t="str">
        <f t="shared" ref="E18:E28" si="3">IF(SUM(F4:G4)=E4,"",SUM(F4:G4))</f>
        <v/>
      </c>
      <c r="F18" s="43"/>
      <c r="G18" s="43"/>
      <c r="H18" s="43" t="str">
        <f t="shared" ref="H18:H28" si="4">IF(SUM(I4:J4)=H4,"",SUM(I4:J4))</f>
        <v/>
      </c>
      <c r="I18" s="43"/>
      <c r="J18" s="43"/>
      <c r="K18" s="43" t="str">
        <f t="shared" ref="K18:K28" si="5">IF(SUM(L4:M4)=K4,"",SUM(L4:M4))</f>
        <v/>
      </c>
      <c r="L18" s="43"/>
      <c r="M18" s="43"/>
      <c r="N18" s="43" t="str">
        <f t="shared" ref="N18:N28" si="6">IF(SUM(O4:P4)=N4,"",SUM(O4:P4))</f>
        <v/>
      </c>
      <c r="O18" s="43"/>
      <c r="P18" s="43"/>
      <c r="Q18" s="43" t="str">
        <f t="shared" ref="Q18:Q28" si="7">IF(SUM(R4:S4)=Q4,"",SUM(R4:S4))</f>
        <v/>
      </c>
      <c r="R18" s="43"/>
      <c r="S18" s="43"/>
      <c r="T18" s="43" t="str">
        <f t="shared" ref="T18:T28" si="8">IF(SUM(U4:V4)=T4,"",SUM(U4:V4))</f>
        <v/>
      </c>
      <c r="U18" s="43"/>
      <c r="V18" s="43"/>
      <c r="W18" s="43" t="str">
        <f t="shared" ref="W18:W28" si="9">IF(SUM(X4:Y4)=W4,"",SUM(X4:Y4))</f>
        <v/>
      </c>
      <c r="X18" s="43"/>
      <c r="Y18" s="43"/>
      <c r="Z18" s="43" t="str">
        <f t="shared" ref="Z18:Z28" si="10">IF(SUM(AA4:AB4)=Z4,"",SUM(AA4:AB4))</f>
        <v/>
      </c>
      <c r="AA18" s="43"/>
      <c r="AB18" s="43"/>
      <c r="AC18" s="43" t="str">
        <f t="shared" ref="AC18:AC28" si="11">IF(SUM(AD4:AE4)=AC4,"",SUM(AD4:AE4))</f>
        <v/>
      </c>
      <c r="AD18" s="43"/>
      <c r="AE18" s="43"/>
      <c r="AF18" s="43" t="str">
        <f t="shared" ref="AF18:AF28" si="12">IF(SUM(AG4:AH4)=AF4,"",SUM(AG4:AH4))</f>
        <v/>
      </c>
      <c r="AG18" s="43"/>
      <c r="AH18" s="43"/>
      <c r="AI18" s="27"/>
      <c r="AJ18" s="27"/>
      <c r="AK18" s="27"/>
      <c r="AL18" s="27"/>
      <c r="AM18" s="27"/>
      <c r="AN18" s="27"/>
      <c r="AO18" s="27"/>
      <c r="AP18" s="27"/>
      <c r="AQ18" s="27"/>
      <c r="AR18" s="27"/>
      <c r="AS18" s="27"/>
      <c r="AT18" s="27"/>
    </row>
    <row r="19" spans="1:46" ht="14.25" customHeight="1" x14ac:dyDescent="0.15">
      <c r="A19" s="40" t="str">
        <f t="shared" si="1"/>
        <v/>
      </c>
      <c r="B19" s="41" t="str">
        <f t="shared" si="2"/>
        <v/>
      </c>
      <c r="C19" s="42" t="str">
        <f t="shared" ref="C19:C28" si="13">IF(C5=SUM(F5,I5,L5,O5,R5,U5),"",SUM(F5,I5,L5,O5,R5,U5))</f>
        <v/>
      </c>
      <c r="D19" s="42" t="str">
        <f t="shared" si="0"/>
        <v/>
      </c>
      <c r="E19" s="44" t="str">
        <f t="shared" si="3"/>
        <v/>
      </c>
      <c r="F19" s="44"/>
      <c r="G19" s="44"/>
      <c r="H19" s="44" t="str">
        <f t="shared" si="4"/>
        <v/>
      </c>
      <c r="I19" s="44"/>
      <c r="J19" s="44"/>
      <c r="K19" s="44" t="str">
        <f t="shared" si="5"/>
        <v/>
      </c>
      <c r="L19" s="44"/>
      <c r="M19" s="44"/>
      <c r="N19" s="44" t="str">
        <f t="shared" si="6"/>
        <v/>
      </c>
      <c r="O19" s="44"/>
      <c r="P19" s="44"/>
      <c r="Q19" s="44" t="str">
        <f t="shared" si="7"/>
        <v/>
      </c>
      <c r="R19" s="44"/>
      <c r="S19" s="44"/>
      <c r="T19" s="44" t="str">
        <f t="shared" si="8"/>
        <v/>
      </c>
      <c r="U19" s="44"/>
      <c r="V19" s="44"/>
      <c r="W19" s="44" t="str">
        <f t="shared" si="9"/>
        <v/>
      </c>
      <c r="X19" s="44"/>
      <c r="Y19" s="44"/>
      <c r="Z19" s="44" t="str">
        <f t="shared" si="10"/>
        <v/>
      </c>
      <c r="AA19" s="44"/>
      <c r="AB19" s="44"/>
      <c r="AC19" s="44" t="str">
        <f t="shared" si="11"/>
        <v/>
      </c>
      <c r="AD19" s="44"/>
      <c r="AE19" s="44"/>
      <c r="AF19" s="44" t="str">
        <f t="shared" si="12"/>
        <v/>
      </c>
      <c r="AG19" s="44"/>
      <c r="AH19" s="44"/>
      <c r="AI19" s="27"/>
      <c r="AJ19" s="27"/>
      <c r="AK19" s="27"/>
      <c r="AL19" s="27"/>
      <c r="AM19" s="27"/>
      <c r="AN19" s="27"/>
      <c r="AO19" s="27"/>
      <c r="AP19" s="27"/>
      <c r="AQ19" s="27"/>
      <c r="AR19" s="27"/>
      <c r="AS19" s="27"/>
      <c r="AT19" s="27"/>
    </row>
    <row r="20" spans="1:46" ht="14.25" customHeight="1" x14ac:dyDescent="0.15">
      <c r="A20" s="40" t="str">
        <f t="shared" si="1"/>
        <v/>
      </c>
      <c r="B20" s="41" t="str">
        <f t="shared" si="2"/>
        <v/>
      </c>
      <c r="C20" s="42" t="str">
        <f t="shared" si="13"/>
        <v/>
      </c>
      <c r="D20" s="42" t="str">
        <f t="shared" si="0"/>
        <v/>
      </c>
      <c r="E20" s="44" t="str">
        <f t="shared" si="3"/>
        <v/>
      </c>
      <c r="F20" s="44"/>
      <c r="G20" s="44"/>
      <c r="H20" s="44" t="str">
        <f t="shared" si="4"/>
        <v/>
      </c>
      <c r="I20" s="44"/>
      <c r="J20" s="44"/>
      <c r="K20" s="44" t="str">
        <f t="shared" si="5"/>
        <v/>
      </c>
      <c r="L20" s="44"/>
      <c r="M20" s="44"/>
      <c r="N20" s="44" t="str">
        <f t="shared" si="6"/>
        <v/>
      </c>
      <c r="O20" s="44"/>
      <c r="P20" s="44"/>
      <c r="Q20" s="44" t="str">
        <f t="shared" si="7"/>
        <v/>
      </c>
      <c r="R20" s="44"/>
      <c r="S20" s="44"/>
      <c r="T20" s="44" t="str">
        <f t="shared" si="8"/>
        <v/>
      </c>
      <c r="U20" s="44"/>
      <c r="V20" s="44"/>
      <c r="W20" s="44" t="str">
        <f t="shared" si="9"/>
        <v/>
      </c>
      <c r="X20" s="44"/>
      <c r="Y20" s="44"/>
      <c r="Z20" s="44" t="str">
        <f t="shared" si="10"/>
        <v/>
      </c>
      <c r="AA20" s="44"/>
      <c r="AB20" s="44"/>
      <c r="AC20" s="44" t="str">
        <f t="shared" si="11"/>
        <v/>
      </c>
      <c r="AD20" s="44"/>
      <c r="AE20" s="44"/>
      <c r="AF20" s="44" t="str">
        <f t="shared" si="12"/>
        <v/>
      </c>
      <c r="AG20" s="44"/>
      <c r="AH20" s="44"/>
      <c r="AI20" s="27"/>
      <c r="AJ20" s="27"/>
      <c r="AK20" s="27"/>
      <c r="AL20" s="27"/>
      <c r="AM20" s="27"/>
      <c r="AN20" s="27"/>
      <c r="AO20" s="27"/>
      <c r="AP20" s="27"/>
      <c r="AQ20" s="27"/>
      <c r="AR20" s="27"/>
      <c r="AS20" s="27"/>
      <c r="AT20" s="27"/>
    </row>
    <row r="21" spans="1:46" ht="14.25" customHeight="1" x14ac:dyDescent="0.15">
      <c r="A21" s="40" t="str">
        <f t="shared" si="1"/>
        <v/>
      </c>
      <c r="B21" s="41" t="str">
        <f t="shared" si="2"/>
        <v/>
      </c>
      <c r="C21" s="42" t="str">
        <f t="shared" si="13"/>
        <v/>
      </c>
      <c r="D21" s="42" t="str">
        <f t="shared" si="0"/>
        <v/>
      </c>
      <c r="E21" s="44" t="str">
        <f t="shared" si="3"/>
        <v/>
      </c>
      <c r="F21" s="44"/>
      <c r="G21" s="44"/>
      <c r="H21" s="44" t="str">
        <f t="shared" si="4"/>
        <v/>
      </c>
      <c r="I21" s="44"/>
      <c r="J21" s="44"/>
      <c r="K21" s="44" t="str">
        <f t="shared" si="5"/>
        <v/>
      </c>
      <c r="L21" s="44"/>
      <c r="M21" s="44"/>
      <c r="N21" s="44" t="str">
        <f t="shared" si="6"/>
        <v/>
      </c>
      <c r="O21" s="44"/>
      <c r="P21" s="44"/>
      <c r="Q21" s="44" t="str">
        <f t="shared" si="7"/>
        <v/>
      </c>
      <c r="R21" s="44"/>
      <c r="S21" s="44"/>
      <c r="T21" s="44" t="str">
        <f t="shared" si="8"/>
        <v/>
      </c>
      <c r="U21" s="44"/>
      <c r="V21" s="44"/>
      <c r="W21" s="44" t="str">
        <f t="shared" si="9"/>
        <v/>
      </c>
      <c r="X21" s="44"/>
      <c r="Y21" s="44"/>
      <c r="Z21" s="44" t="str">
        <f t="shared" si="10"/>
        <v/>
      </c>
      <c r="AA21" s="44"/>
      <c r="AB21" s="44"/>
      <c r="AC21" s="44" t="str">
        <f t="shared" si="11"/>
        <v/>
      </c>
      <c r="AD21" s="44"/>
      <c r="AE21" s="44"/>
      <c r="AF21" s="44" t="str">
        <f t="shared" si="12"/>
        <v/>
      </c>
      <c r="AG21" s="44"/>
      <c r="AH21" s="44"/>
      <c r="AI21" s="27"/>
      <c r="AJ21" s="27"/>
      <c r="AK21" s="27"/>
      <c r="AL21" s="27"/>
      <c r="AM21" s="27"/>
      <c r="AN21" s="27"/>
      <c r="AO21" s="27"/>
      <c r="AP21" s="27"/>
      <c r="AQ21" s="27"/>
      <c r="AR21" s="27"/>
      <c r="AS21" s="27"/>
      <c r="AT21" s="27"/>
    </row>
    <row r="22" spans="1:46" ht="14.25" customHeight="1" x14ac:dyDescent="0.15">
      <c r="A22" s="40" t="str">
        <f t="shared" si="1"/>
        <v/>
      </c>
      <c r="B22" s="41" t="str">
        <f t="shared" si="2"/>
        <v/>
      </c>
      <c r="C22" s="42" t="str">
        <f t="shared" si="13"/>
        <v/>
      </c>
      <c r="D22" s="42" t="str">
        <f t="shared" si="0"/>
        <v/>
      </c>
      <c r="E22" s="44" t="str">
        <f t="shared" si="3"/>
        <v/>
      </c>
      <c r="F22" s="44"/>
      <c r="G22" s="44"/>
      <c r="H22" s="44" t="str">
        <f t="shared" si="4"/>
        <v/>
      </c>
      <c r="I22" s="44"/>
      <c r="J22" s="44"/>
      <c r="K22" s="44" t="str">
        <f t="shared" si="5"/>
        <v/>
      </c>
      <c r="L22" s="44"/>
      <c r="M22" s="44"/>
      <c r="N22" s="44" t="str">
        <f t="shared" si="6"/>
        <v/>
      </c>
      <c r="O22" s="44"/>
      <c r="P22" s="44"/>
      <c r="Q22" s="44" t="str">
        <f t="shared" si="7"/>
        <v/>
      </c>
      <c r="R22" s="44"/>
      <c r="S22" s="44"/>
      <c r="T22" s="44" t="str">
        <f t="shared" si="8"/>
        <v/>
      </c>
      <c r="U22" s="44"/>
      <c r="V22" s="44"/>
      <c r="W22" s="44" t="str">
        <f t="shared" si="9"/>
        <v/>
      </c>
      <c r="X22" s="44"/>
      <c r="Y22" s="44"/>
      <c r="Z22" s="44" t="str">
        <f t="shared" si="10"/>
        <v/>
      </c>
      <c r="AA22" s="44"/>
      <c r="AB22" s="44"/>
      <c r="AC22" s="44" t="str">
        <f t="shared" si="11"/>
        <v/>
      </c>
      <c r="AD22" s="44"/>
      <c r="AE22" s="44"/>
      <c r="AF22" s="44" t="str">
        <f t="shared" si="12"/>
        <v/>
      </c>
      <c r="AG22" s="44"/>
      <c r="AH22" s="44"/>
      <c r="AI22" s="27"/>
      <c r="AJ22" s="27"/>
      <c r="AK22" s="27"/>
      <c r="AL22" s="27"/>
      <c r="AM22" s="27"/>
      <c r="AN22" s="27"/>
      <c r="AO22" s="27"/>
      <c r="AP22" s="27"/>
      <c r="AQ22" s="27"/>
      <c r="AR22" s="27"/>
      <c r="AS22" s="27"/>
      <c r="AT22" s="27"/>
    </row>
    <row r="23" spans="1:46" ht="14.25" customHeight="1" x14ac:dyDescent="0.15">
      <c r="A23" s="40" t="str">
        <f t="shared" si="1"/>
        <v/>
      </c>
      <c r="B23" s="41" t="str">
        <f t="shared" si="2"/>
        <v/>
      </c>
      <c r="C23" s="42" t="str">
        <f t="shared" si="13"/>
        <v/>
      </c>
      <c r="D23" s="42" t="str">
        <f t="shared" si="0"/>
        <v/>
      </c>
      <c r="E23" s="44" t="str">
        <f t="shared" si="3"/>
        <v/>
      </c>
      <c r="F23" s="44"/>
      <c r="G23" s="44"/>
      <c r="H23" s="44" t="str">
        <f t="shared" si="4"/>
        <v/>
      </c>
      <c r="I23" s="44"/>
      <c r="J23" s="44"/>
      <c r="K23" s="44" t="str">
        <f t="shared" si="5"/>
        <v/>
      </c>
      <c r="L23" s="44"/>
      <c r="M23" s="44"/>
      <c r="N23" s="44" t="str">
        <f t="shared" si="6"/>
        <v/>
      </c>
      <c r="O23" s="44"/>
      <c r="P23" s="44"/>
      <c r="Q23" s="44" t="str">
        <f t="shared" si="7"/>
        <v/>
      </c>
      <c r="R23" s="44"/>
      <c r="S23" s="44"/>
      <c r="T23" s="44" t="str">
        <f t="shared" si="8"/>
        <v/>
      </c>
      <c r="U23" s="44"/>
      <c r="V23" s="44"/>
      <c r="W23" s="44" t="str">
        <f t="shared" si="9"/>
        <v/>
      </c>
      <c r="X23" s="44"/>
      <c r="Y23" s="44"/>
      <c r="Z23" s="44" t="str">
        <f t="shared" si="10"/>
        <v/>
      </c>
      <c r="AA23" s="44"/>
      <c r="AB23" s="44"/>
      <c r="AC23" s="44" t="str">
        <f t="shared" si="11"/>
        <v/>
      </c>
      <c r="AD23" s="44"/>
      <c r="AE23" s="44"/>
      <c r="AF23" s="44" t="str">
        <f t="shared" si="12"/>
        <v/>
      </c>
      <c r="AG23" s="44"/>
      <c r="AH23" s="44"/>
      <c r="AI23" s="27"/>
      <c r="AJ23" s="27"/>
      <c r="AK23" s="27"/>
      <c r="AL23" s="27"/>
      <c r="AM23" s="27"/>
      <c r="AN23" s="27"/>
      <c r="AO23" s="27"/>
      <c r="AP23" s="27"/>
      <c r="AQ23" s="27"/>
      <c r="AR23" s="27"/>
      <c r="AS23" s="27"/>
      <c r="AT23" s="27"/>
    </row>
    <row r="24" spans="1:46" ht="14.25" customHeight="1" x14ac:dyDescent="0.15">
      <c r="A24" s="40" t="str">
        <f t="shared" si="1"/>
        <v/>
      </c>
      <c r="B24" s="41" t="str">
        <f t="shared" si="2"/>
        <v/>
      </c>
      <c r="C24" s="42" t="str">
        <f t="shared" si="13"/>
        <v/>
      </c>
      <c r="D24" s="42" t="str">
        <f t="shared" si="0"/>
        <v/>
      </c>
      <c r="E24" s="44" t="str">
        <f t="shared" si="3"/>
        <v/>
      </c>
      <c r="F24" s="44"/>
      <c r="G24" s="44"/>
      <c r="H24" s="44" t="str">
        <f t="shared" si="4"/>
        <v/>
      </c>
      <c r="I24" s="44"/>
      <c r="J24" s="44"/>
      <c r="K24" s="44" t="str">
        <f t="shared" si="5"/>
        <v/>
      </c>
      <c r="L24" s="44"/>
      <c r="M24" s="44"/>
      <c r="N24" s="44" t="str">
        <f t="shared" si="6"/>
        <v/>
      </c>
      <c r="O24" s="44"/>
      <c r="P24" s="44"/>
      <c r="Q24" s="44" t="str">
        <f t="shared" si="7"/>
        <v/>
      </c>
      <c r="R24" s="44"/>
      <c r="S24" s="44"/>
      <c r="T24" s="44" t="str">
        <f t="shared" si="8"/>
        <v/>
      </c>
      <c r="U24" s="44"/>
      <c r="V24" s="44"/>
      <c r="W24" s="44" t="str">
        <f t="shared" si="9"/>
        <v/>
      </c>
      <c r="X24" s="44"/>
      <c r="Y24" s="44"/>
      <c r="Z24" s="44" t="str">
        <f t="shared" si="10"/>
        <v/>
      </c>
      <c r="AA24" s="44"/>
      <c r="AB24" s="44"/>
      <c r="AC24" s="44" t="str">
        <f t="shared" si="11"/>
        <v/>
      </c>
      <c r="AD24" s="44"/>
      <c r="AE24" s="44"/>
      <c r="AF24" s="44" t="str">
        <f t="shared" si="12"/>
        <v/>
      </c>
      <c r="AG24" s="44"/>
      <c r="AH24" s="44"/>
      <c r="AI24" s="27"/>
      <c r="AJ24" s="27"/>
      <c r="AK24" s="27"/>
      <c r="AL24" s="27"/>
      <c r="AM24" s="27"/>
      <c r="AN24" s="27"/>
      <c r="AO24" s="27"/>
      <c r="AP24" s="27"/>
      <c r="AQ24" s="27"/>
      <c r="AR24" s="27"/>
      <c r="AS24" s="27"/>
      <c r="AT24" s="27"/>
    </row>
    <row r="25" spans="1:46" ht="14.25" customHeight="1" x14ac:dyDescent="0.15">
      <c r="A25" s="40" t="str">
        <f t="shared" si="1"/>
        <v/>
      </c>
      <c r="B25" s="41" t="str">
        <f t="shared" si="2"/>
        <v/>
      </c>
      <c r="C25" s="42" t="str">
        <f t="shared" si="13"/>
        <v/>
      </c>
      <c r="D25" s="42" t="str">
        <f t="shared" si="0"/>
        <v/>
      </c>
      <c r="E25" s="44" t="str">
        <f t="shared" si="3"/>
        <v/>
      </c>
      <c r="F25" s="44"/>
      <c r="G25" s="44"/>
      <c r="H25" s="44" t="str">
        <f t="shared" si="4"/>
        <v/>
      </c>
      <c r="I25" s="44"/>
      <c r="J25" s="44"/>
      <c r="K25" s="44" t="str">
        <f t="shared" si="5"/>
        <v/>
      </c>
      <c r="L25" s="44"/>
      <c r="M25" s="44"/>
      <c r="N25" s="44" t="str">
        <f t="shared" si="6"/>
        <v/>
      </c>
      <c r="O25" s="44"/>
      <c r="P25" s="44"/>
      <c r="Q25" s="44" t="str">
        <f t="shared" si="7"/>
        <v/>
      </c>
      <c r="R25" s="44"/>
      <c r="S25" s="44"/>
      <c r="T25" s="44" t="str">
        <f t="shared" si="8"/>
        <v/>
      </c>
      <c r="U25" s="44"/>
      <c r="V25" s="44"/>
      <c r="W25" s="44" t="str">
        <f t="shared" si="9"/>
        <v/>
      </c>
      <c r="X25" s="44"/>
      <c r="Y25" s="44"/>
      <c r="Z25" s="44" t="str">
        <f t="shared" si="10"/>
        <v/>
      </c>
      <c r="AA25" s="44"/>
      <c r="AB25" s="44"/>
      <c r="AC25" s="44" t="str">
        <f t="shared" si="11"/>
        <v/>
      </c>
      <c r="AD25" s="44"/>
      <c r="AE25" s="44"/>
      <c r="AF25" s="44" t="str">
        <f t="shared" si="12"/>
        <v/>
      </c>
      <c r="AG25" s="44"/>
      <c r="AH25" s="44"/>
      <c r="AI25" s="27"/>
      <c r="AJ25" s="27"/>
      <c r="AK25" s="27"/>
      <c r="AL25" s="27"/>
      <c r="AM25" s="27"/>
      <c r="AN25" s="27"/>
      <c r="AO25" s="27"/>
      <c r="AP25" s="27"/>
      <c r="AQ25" s="27"/>
      <c r="AR25" s="27"/>
      <c r="AS25" s="27"/>
      <c r="AT25" s="27"/>
    </row>
    <row r="26" spans="1:46" ht="14.25" customHeight="1" x14ac:dyDescent="0.15">
      <c r="A26" s="40" t="str">
        <f t="shared" si="1"/>
        <v/>
      </c>
      <c r="B26" s="41" t="str">
        <f t="shared" si="2"/>
        <v/>
      </c>
      <c r="C26" s="42" t="str">
        <f t="shared" si="13"/>
        <v/>
      </c>
      <c r="D26" s="42" t="str">
        <f t="shared" si="0"/>
        <v/>
      </c>
      <c r="E26" s="44" t="str">
        <f t="shared" si="3"/>
        <v/>
      </c>
      <c r="F26" s="44"/>
      <c r="G26" s="44"/>
      <c r="H26" s="44" t="str">
        <f t="shared" si="4"/>
        <v/>
      </c>
      <c r="I26" s="44"/>
      <c r="J26" s="44"/>
      <c r="K26" s="44" t="str">
        <f t="shared" si="5"/>
        <v/>
      </c>
      <c r="L26" s="44"/>
      <c r="M26" s="44"/>
      <c r="N26" s="44" t="str">
        <f t="shared" si="6"/>
        <v/>
      </c>
      <c r="O26" s="44"/>
      <c r="P26" s="44"/>
      <c r="Q26" s="44" t="str">
        <f t="shared" si="7"/>
        <v/>
      </c>
      <c r="R26" s="44"/>
      <c r="S26" s="44"/>
      <c r="T26" s="44" t="str">
        <f t="shared" si="8"/>
        <v/>
      </c>
      <c r="U26" s="44"/>
      <c r="V26" s="44"/>
      <c r="W26" s="44" t="str">
        <f t="shared" si="9"/>
        <v/>
      </c>
      <c r="X26" s="44"/>
      <c r="Y26" s="44"/>
      <c r="Z26" s="44" t="str">
        <f t="shared" si="10"/>
        <v/>
      </c>
      <c r="AA26" s="44"/>
      <c r="AB26" s="44"/>
      <c r="AC26" s="44" t="str">
        <f t="shared" si="11"/>
        <v/>
      </c>
      <c r="AD26" s="44"/>
      <c r="AE26" s="44"/>
      <c r="AF26" s="44" t="str">
        <f t="shared" si="12"/>
        <v/>
      </c>
      <c r="AG26" s="44"/>
      <c r="AH26" s="44"/>
      <c r="AI26" s="27"/>
      <c r="AJ26" s="27"/>
      <c r="AK26" s="27"/>
      <c r="AL26" s="27"/>
      <c r="AM26" s="27"/>
      <c r="AN26" s="27"/>
      <c r="AO26" s="27"/>
      <c r="AP26" s="27"/>
      <c r="AQ26" s="27"/>
      <c r="AR26" s="27"/>
      <c r="AS26" s="27"/>
      <c r="AT26" s="27"/>
    </row>
    <row r="27" spans="1:46" ht="14.25" customHeight="1" x14ac:dyDescent="0.15">
      <c r="A27" s="40" t="str">
        <f t="shared" si="1"/>
        <v/>
      </c>
      <c r="B27" s="41" t="str">
        <f t="shared" si="2"/>
        <v/>
      </c>
      <c r="C27" s="42" t="str">
        <f t="shared" si="13"/>
        <v/>
      </c>
      <c r="D27" s="42" t="str">
        <f t="shared" si="0"/>
        <v/>
      </c>
      <c r="E27" s="44" t="str">
        <f t="shared" si="3"/>
        <v/>
      </c>
      <c r="F27" s="44"/>
      <c r="G27" s="44"/>
      <c r="H27" s="44" t="str">
        <f t="shared" si="4"/>
        <v/>
      </c>
      <c r="I27" s="44"/>
      <c r="J27" s="44"/>
      <c r="K27" s="44" t="str">
        <f t="shared" si="5"/>
        <v/>
      </c>
      <c r="L27" s="44"/>
      <c r="M27" s="44"/>
      <c r="N27" s="44" t="str">
        <f t="shared" si="6"/>
        <v/>
      </c>
      <c r="O27" s="44"/>
      <c r="P27" s="44"/>
      <c r="Q27" s="44" t="str">
        <f t="shared" si="7"/>
        <v/>
      </c>
      <c r="R27" s="44"/>
      <c r="S27" s="44"/>
      <c r="T27" s="44" t="str">
        <f t="shared" si="8"/>
        <v/>
      </c>
      <c r="U27" s="44"/>
      <c r="V27" s="44"/>
      <c r="W27" s="44" t="str">
        <f t="shared" si="9"/>
        <v/>
      </c>
      <c r="X27" s="44"/>
      <c r="Y27" s="44"/>
      <c r="Z27" s="44" t="str">
        <f t="shared" si="10"/>
        <v/>
      </c>
      <c r="AA27" s="44"/>
      <c r="AB27" s="44"/>
      <c r="AC27" s="44" t="str">
        <f t="shared" si="11"/>
        <v/>
      </c>
      <c r="AD27" s="44"/>
      <c r="AE27" s="44"/>
      <c r="AF27" s="44" t="str">
        <f t="shared" si="12"/>
        <v/>
      </c>
      <c r="AG27" s="44"/>
      <c r="AH27" s="44"/>
      <c r="AI27" s="27"/>
      <c r="AJ27" s="27"/>
      <c r="AK27" s="27"/>
      <c r="AL27" s="27"/>
      <c r="AM27" s="27"/>
      <c r="AN27" s="27"/>
      <c r="AO27" s="27"/>
      <c r="AP27" s="27"/>
      <c r="AQ27" s="27"/>
      <c r="AR27" s="27"/>
      <c r="AS27" s="27"/>
      <c r="AT27" s="27"/>
    </row>
    <row r="28" spans="1:46" ht="14.25" customHeight="1" x14ac:dyDescent="0.15">
      <c r="A28" s="40" t="str">
        <f t="shared" si="1"/>
        <v/>
      </c>
      <c r="B28" s="41" t="str">
        <f t="shared" si="2"/>
        <v/>
      </c>
      <c r="C28" s="42" t="str">
        <f t="shared" si="13"/>
        <v/>
      </c>
      <c r="D28" s="42" t="str">
        <f t="shared" si="0"/>
        <v/>
      </c>
      <c r="E28" s="44" t="str">
        <f t="shared" si="3"/>
        <v/>
      </c>
      <c r="F28" s="44"/>
      <c r="G28" s="44"/>
      <c r="H28" s="44" t="str">
        <f t="shared" si="4"/>
        <v/>
      </c>
      <c r="I28" s="44"/>
      <c r="J28" s="44"/>
      <c r="K28" s="44" t="str">
        <f t="shared" si="5"/>
        <v/>
      </c>
      <c r="L28" s="44"/>
      <c r="M28" s="44"/>
      <c r="N28" s="44" t="str">
        <f t="shared" si="6"/>
        <v/>
      </c>
      <c r="O28" s="44"/>
      <c r="P28" s="44"/>
      <c r="Q28" s="44" t="str">
        <f t="shared" si="7"/>
        <v/>
      </c>
      <c r="R28" s="44"/>
      <c r="S28" s="44"/>
      <c r="T28" s="44" t="str">
        <f t="shared" si="8"/>
        <v/>
      </c>
      <c r="U28" s="44"/>
      <c r="V28" s="44"/>
      <c r="W28" s="44" t="str">
        <f t="shared" si="9"/>
        <v/>
      </c>
      <c r="X28" s="44"/>
      <c r="Y28" s="44"/>
      <c r="Z28" s="44" t="str">
        <f t="shared" si="10"/>
        <v/>
      </c>
      <c r="AA28" s="44"/>
      <c r="AB28" s="44"/>
      <c r="AC28" s="44" t="str">
        <f t="shared" si="11"/>
        <v/>
      </c>
      <c r="AD28" s="44"/>
      <c r="AE28" s="44"/>
      <c r="AF28" s="44" t="str">
        <f t="shared" si="12"/>
        <v/>
      </c>
      <c r="AG28" s="44"/>
      <c r="AH28" s="44"/>
      <c r="AI28" s="27"/>
      <c r="AJ28" s="27"/>
      <c r="AK28" s="27"/>
      <c r="AL28" s="27"/>
      <c r="AM28" s="27"/>
      <c r="AN28" s="27"/>
      <c r="AO28" s="27"/>
      <c r="AP28" s="27"/>
      <c r="AQ28" s="27"/>
      <c r="AR28" s="27"/>
      <c r="AS28" s="27"/>
      <c r="AT28" s="27"/>
    </row>
    <row r="29" spans="1:46" ht="14.25" customHeight="1" x14ac:dyDescent="0.15">
      <c r="A29" s="40"/>
      <c r="B29" s="41"/>
      <c r="C29" s="42"/>
      <c r="D29" s="42"/>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27"/>
      <c r="AJ29" s="27"/>
      <c r="AK29" s="27"/>
      <c r="AL29" s="27"/>
      <c r="AM29" s="27"/>
      <c r="AN29" s="27"/>
      <c r="AO29" s="27"/>
      <c r="AP29" s="27"/>
      <c r="AQ29" s="27"/>
      <c r="AR29" s="27"/>
      <c r="AS29" s="27"/>
      <c r="AT29" s="27"/>
    </row>
    <row r="30" spans="1:46" ht="14.25" customHeight="1" x14ac:dyDescent="0.15">
      <c r="A30" s="40"/>
      <c r="B30" s="41"/>
      <c r="C30" s="42"/>
      <c r="D30" s="42"/>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27"/>
      <c r="AJ30" s="27"/>
      <c r="AK30" s="27"/>
      <c r="AL30" s="27"/>
      <c r="AM30" s="27"/>
      <c r="AN30" s="27"/>
      <c r="AO30" s="27"/>
      <c r="AP30" s="27"/>
      <c r="AQ30" s="27"/>
      <c r="AR30" s="27"/>
      <c r="AS30" s="27"/>
      <c r="AT30" s="27"/>
    </row>
    <row r="31" spans="1:46" ht="14.25" customHeight="1" x14ac:dyDescent="0.15">
      <c r="A31" s="40"/>
      <c r="B31" s="46"/>
      <c r="C31" s="47"/>
      <c r="D31" s="42"/>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27"/>
      <c r="AJ31" s="27"/>
      <c r="AK31" s="27"/>
      <c r="AL31" s="27"/>
      <c r="AM31" s="27"/>
      <c r="AN31" s="27"/>
      <c r="AO31" s="27"/>
      <c r="AP31" s="27"/>
      <c r="AQ31" s="27"/>
      <c r="AR31" s="27"/>
      <c r="AS31" s="27"/>
      <c r="AT31" s="27"/>
    </row>
    <row r="32" spans="1:46" ht="14.25" customHeight="1" x14ac:dyDescent="0.15">
      <c r="A32" s="40"/>
      <c r="B32" s="45"/>
      <c r="C32" s="47"/>
      <c r="D32" s="47"/>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27"/>
      <c r="AJ32" s="27"/>
      <c r="AK32" s="27"/>
      <c r="AL32" s="27"/>
      <c r="AM32" s="27"/>
      <c r="AN32" s="27"/>
      <c r="AO32" s="27"/>
      <c r="AP32" s="27"/>
      <c r="AQ32" s="27"/>
      <c r="AR32" s="27"/>
      <c r="AS32" s="27"/>
      <c r="AT32" s="27"/>
    </row>
    <row r="33" spans="1:46" ht="14.25" customHeight="1" x14ac:dyDescent="0.15">
      <c r="A33" s="27"/>
      <c r="B33" s="45"/>
      <c r="C33" s="47"/>
      <c r="D33" s="47"/>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27"/>
      <c r="AJ33" s="27"/>
      <c r="AK33" s="27"/>
      <c r="AL33" s="27"/>
      <c r="AM33" s="27"/>
      <c r="AN33" s="27"/>
      <c r="AO33" s="27"/>
      <c r="AP33" s="27"/>
      <c r="AQ33" s="27"/>
      <c r="AR33" s="27"/>
      <c r="AS33" s="27"/>
      <c r="AT33" s="27"/>
    </row>
    <row r="34" spans="1:46" ht="14.25" customHeight="1" x14ac:dyDescent="0.15">
      <c r="A34" s="27"/>
      <c r="B34" s="45"/>
      <c r="C34" s="47"/>
      <c r="D34" s="47"/>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27"/>
      <c r="AJ34" s="27"/>
      <c r="AK34" s="27"/>
      <c r="AL34" s="27"/>
      <c r="AM34" s="27"/>
      <c r="AN34" s="27"/>
      <c r="AO34" s="27"/>
      <c r="AP34" s="27"/>
      <c r="AQ34" s="27"/>
      <c r="AR34" s="27"/>
      <c r="AS34" s="27"/>
      <c r="AT34" s="27"/>
    </row>
    <row r="35" spans="1:46" ht="14.25" customHeight="1"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row>
    <row r="36" spans="1:46" ht="14.25" customHeight="1"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row>
    <row r="37" spans="1:46" ht="14.25" customHeight="1"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row>
    <row r="38" spans="1:46" ht="14.25" customHeight="1"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row>
    <row r="39" spans="1:46" ht="14.25" customHeight="1"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row>
    <row r="40" spans="1:46" ht="14.25" customHeight="1"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row>
    <row r="41" spans="1:46" ht="14.25" customHeight="1"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row>
    <row r="42" spans="1:46" ht="14.25" customHeight="1"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4.25" customHeight="1"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ht="14.25" customHeight="1"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ht="14.25" customHeight="1"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row>
    <row r="46" spans="1:46" ht="14.25" customHeight="1"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ht="14.25" customHeight="1"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14.25" customHeight="1"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14.25" customHeight="1"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row>
    <row r="50" spans="1:46" ht="14.25" customHeight="1"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row>
    <row r="51" spans="1:46" ht="14.25" customHeight="1"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row>
    <row r="52" spans="1:46" ht="14.25" customHeight="1"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row>
    <row r="53" spans="1:46" ht="14.25" customHeight="1"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row>
    <row r="54" spans="1:46" ht="14.25" customHeight="1"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row>
    <row r="55" spans="1:46" ht="14.25" customHeight="1"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row>
    <row r="56" spans="1:46" ht="14.25" customHeight="1"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row>
    <row r="57" spans="1:46" ht="14.25" customHeight="1"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row>
    <row r="58" spans="1:46" ht="14.25" customHeight="1"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row>
    <row r="59" spans="1:46" ht="14.25" customHeight="1"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14.25" customHeight="1"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14.25" customHeight="1"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14.25" customHeight="1" x14ac:dyDescent="0.1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14.25" customHeight="1" x14ac:dyDescent="0.1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14.25" customHeight="1" x14ac:dyDescent="0.1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14.25" customHeight="1" x14ac:dyDescent="0.1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row>
    <row r="66" spans="1:46" ht="14.25" customHeight="1" x14ac:dyDescent="0.1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row>
    <row r="67" spans="1:46" ht="14.25" customHeight="1" x14ac:dyDescent="0.1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row>
    <row r="68" spans="1:46" ht="14.25" customHeight="1" x14ac:dyDescent="0.1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row>
    <row r="69" spans="1:46" ht="14.25" customHeight="1" x14ac:dyDescent="0.1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row>
    <row r="70" spans="1:46" ht="14.25" customHeight="1" x14ac:dyDescent="0.1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row>
    <row r="71" spans="1:46" ht="14.25" customHeight="1" x14ac:dyDescent="0.1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row>
    <row r="72" spans="1:46" ht="14.25" customHeight="1" x14ac:dyDescent="0.1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14.25" customHeight="1" x14ac:dyDescent="0.1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4.25" customHeight="1" x14ac:dyDescent="0.1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14.25" customHeight="1" x14ac:dyDescent="0.1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14.25" customHeight="1" x14ac:dyDescent="0.1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14.25" customHeight="1" x14ac:dyDescent="0.1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14.25" customHeight="1" x14ac:dyDescent="0.1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row>
    <row r="79" spans="1:46" ht="14.25" customHeight="1" x14ac:dyDescent="0.1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14.25" customHeight="1" x14ac:dyDescent="0.1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14.25" customHeight="1" x14ac:dyDescent="0.1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14.25" customHeight="1" x14ac:dyDescent="0.1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14.25" customHeight="1" x14ac:dyDescent="0.1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14.25" customHeight="1" x14ac:dyDescent="0.1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14.25" customHeight="1" x14ac:dyDescent="0.1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4.25" customHeight="1" x14ac:dyDescent="0.1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14.25" customHeight="1" x14ac:dyDescent="0.1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4.25" customHeight="1" x14ac:dyDescent="0.1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14.25" customHeight="1" x14ac:dyDescent="0.1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4.25" customHeight="1" x14ac:dyDescent="0.1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14.25" customHeight="1" x14ac:dyDescent="0.1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4.25" customHeight="1" x14ac:dyDescent="0.1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4.25" customHeight="1" x14ac:dyDescent="0.1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4.25" customHeight="1" x14ac:dyDescent="0.1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4.25" customHeight="1" x14ac:dyDescent="0.1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4.25" customHeight="1" x14ac:dyDescent="0.1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4.25" customHeight="1" x14ac:dyDescent="0.1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4.25" customHeight="1" x14ac:dyDescent="0.1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14.25" customHeight="1" x14ac:dyDescent="0.1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4.25" customHeight="1" x14ac:dyDescent="0.1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14.25" customHeight="1" x14ac:dyDescent="0.1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4.25" customHeight="1" x14ac:dyDescent="0.1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4.25" customHeight="1" x14ac:dyDescent="0.1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4.25" customHeight="1" x14ac:dyDescent="0.1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4.25" customHeight="1" x14ac:dyDescent="0.1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4.25" customHeight="1" x14ac:dyDescent="0.1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4.25" customHeight="1" x14ac:dyDescent="0.1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4.25" customHeight="1" x14ac:dyDescent="0.1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4.25" customHeight="1" x14ac:dyDescent="0.1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4.25" customHeight="1" x14ac:dyDescent="0.1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4.25" customHeight="1" x14ac:dyDescent="0.1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4.25" customHeight="1" x14ac:dyDescent="0.1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4.25" customHeight="1" x14ac:dyDescent="0.1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4.25" customHeight="1" x14ac:dyDescent="0.1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4.25" customHeight="1" x14ac:dyDescent="0.1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4.25" customHeight="1" x14ac:dyDescent="0.1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4.25" customHeight="1" x14ac:dyDescent="0.1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4.25" customHeight="1" x14ac:dyDescent="0.1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4.25" customHeight="1" x14ac:dyDescent="0.1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4.25" customHeight="1" x14ac:dyDescent="0.1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4.25" customHeight="1" x14ac:dyDescent="0.1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4.25" customHeight="1" x14ac:dyDescent="0.1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4.25" customHeight="1" x14ac:dyDescent="0.1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4.25" customHeight="1" x14ac:dyDescent="0.1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4.25" customHeight="1" x14ac:dyDescent="0.1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4.25" customHeight="1" x14ac:dyDescent="0.1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4.25" customHeight="1" x14ac:dyDescent="0.1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4.25" customHeight="1" x14ac:dyDescent="0.1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4.25" customHeight="1" x14ac:dyDescent="0.1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4.25" customHeight="1" x14ac:dyDescent="0.1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4.25" customHeight="1" x14ac:dyDescent="0.1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4.25" customHeight="1" x14ac:dyDescent="0.1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4.25" customHeight="1" x14ac:dyDescent="0.1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4.25" customHeight="1" x14ac:dyDescent="0.1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4.25" customHeight="1" x14ac:dyDescent="0.1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4.25" customHeight="1" x14ac:dyDescent="0.1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4.25" customHeight="1" x14ac:dyDescent="0.1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4.25" customHeight="1" x14ac:dyDescent="0.1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4.25" customHeight="1" x14ac:dyDescent="0.1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4.25" customHeight="1" x14ac:dyDescent="0.1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4.25" customHeight="1" x14ac:dyDescent="0.1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4.25" customHeight="1" x14ac:dyDescent="0.1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4.25" customHeight="1" x14ac:dyDescent="0.1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4.25" customHeight="1" x14ac:dyDescent="0.1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4.25" customHeight="1" x14ac:dyDescent="0.1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4.25" customHeight="1" x14ac:dyDescent="0.1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4.25" customHeight="1" x14ac:dyDescent="0.1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4.25" customHeight="1" x14ac:dyDescent="0.1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4.25" customHeight="1" x14ac:dyDescent="0.1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4.25" customHeight="1" x14ac:dyDescent="0.1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4.25" customHeight="1" x14ac:dyDescent="0.1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4.25" customHeight="1" x14ac:dyDescent="0.1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4.25" customHeight="1" x14ac:dyDescent="0.1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4.25" customHeight="1" x14ac:dyDescent="0.1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4.25" customHeight="1" x14ac:dyDescent="0.1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4.25" customHeight="1" x14ac:dyDescent="0.1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4.25" customHeight="1" x14ac:dyDescent="0.1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4.25" customHeight="1" x14ac:dyDescent="0.1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4.25" customHeight="1" x14ac:dyDescent="0.1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4.25" customHeight="1" x14ac:dyDescent="0.1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4.25" customHeight="1" x14ac:dyDescent="0.1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4.25" customHeight="1" x14ac:dyDescent="0.1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4.25" customHeight="1" x14ac:dyDescent="0.1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4.25" customHeight="1" x14ac:dyDescent="0.1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4.25" customHeight="1" x14ac:dyDescent="0.1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4.25" customHeight="1" x14ac:dyDescent="0.1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4.25" customHeight="1" x14ac:dyDescent="0.1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4.25" customHeight="1" x14ac:dyDescent="0.1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4.25" customHeight="1" x14ac:dyDescent="0.1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4.25" customHeight="1" x14ac:dyDescent="0.1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4.25" customHeight="1" x14ac:dyDescent="0.1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4.25" customHeight="1" x14ac:dyDescent="0.1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4.25" customHeight="1" x14ac:dyDescent="0.1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4.25" customHeight="1" x14ac:dyDescent="0.1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4.25" customHeight="1" x14ac:dyDescent="0.1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4.25" customHeight="1" x14ac:dyDescent="0.1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4.25" customHeight="1" x14ac:dyDescent="0.1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4.25" customHeight="1" x14ac:dyDescent="0.1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4.25" customHeight="1" x14ac:dyDescent="0.1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4.25" customHeight="1" x14ac:dyDescent="0.1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4.25" customHeight="1" x14ac:dyDescent="0.1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4.25" customHeight="1" x14ac:dyDescent="0.1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4.25" customHeight="1" x14ac:dyDescent="0.1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4.25" customHeight="1" x14ac:dyDescent="0.1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4.25" customHeight="1" x14ac:dyDescent="0.1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4.25" customHeight="1" x14ac:dyDescent="0.1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4.25" customHeight="1" x14ac:dyDescent="0.1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4.25" customHeight="1" x14ac:dyDescent="0.1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4.25" customHeight="1" x14ac:dyDescent="0.1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4.25" customHeight="1" x14ac:dyDescent="0.1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4.25" customHeight="1" x14ac:dyDescent="0.1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4.25" customHeight="1" x14ac:dyDescent="0.1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4.25" customHeight="1" x14ac:dyDescent="0.1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4.25" customHeight="1" x14ac:dyDescent="0.1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4.25" customHeight="1" x14ac:dyDescent="0.1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4.25" customHeight="1" x14ac:dyDescent="0.1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4.25" customHeight="1" x14ac:dyDescent="0.1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4.25" customHeight="1" x14ac:dyDescent="0.1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4.25" customHeight="1" x14ac:dyDescent="0.1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4.25" customHeight="1" x14ac:dyDescent="0.1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4.25" customHeight="1" x14ac:dyDescent="0.1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4.25" customHeight="1" x14ac:dyDescent="0.1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4.25" customHeight="1" x14ac:dyDescent="0.1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4.25" customHeight="1" x14ac:dyDescent="0.1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4.25" customHeight="1" x14ac:dyDescent="0.1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4.25" customHeight="1" x14ac:dyDescent="0.1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4.25" customHeight="1" x14ac:dyDescent="0.1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4.25" customHeight="1" x14ac:dyDescent="0.1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4.25" customHeight="1" x14ac:dyDescent="0.1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4.25" customHeight="1" x14ac:dyDescent="0.1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4.25" customHeight="1" x14ac:dyDescent="0.1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4.25" customHeight="1" x14ac:dyDescent="0.1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4.25" customHeight="1" x14ac:dyDescent="0.1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4.25" customHeight="1" x14ac:dyDescent="0.1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4.25" customHeight="1" x14ac:dyDescent="0.1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4.25" customHeight="1" x14ac:dyDescent="0.1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4.25" customHeight="1" x14ac:dyDescent="0.1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4.25" customHeight="1" x14ac:dyDescent="0.1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4.25" customHeight="1" x14ac:dyDescent="0.1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row>
    <row r="220" spans="1:46" ht="14.25" customHeight="1" x14ac:dyDescent="0.1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row>
    <row r="221" spans="1:46" ht="14.25" customHeight="1" x14ac:dyDescent="0.1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row>
    <row r="222" spans="1:46" ht="14.25" customHeight="1" x14ac:dyDescent="0.1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row>
    <row r="223" spans="1:46" ht="14.25" customHeight="1" x14ac:dyDescent="0.1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row>
    <row r="224" spans="1:46" ht="14.25" customHeight="1" x14ac:dyDescent="0.1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row>
    <row r="225" spans="1:46" ht="14.25" customHeight="1" x14ac:dyDescent="0.1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row>
    <row r="226" spans="1:46" ht="14.25" customHeight="1" x14ac:dyDescent="0.1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row>
    <row r="227" spans="1:46" ht="14.25" customHeight="1" x14ac:dyDescent="0.1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row>
    <row r="228" spans="1:46" ht="14.25" customHeight="1" x14ac:dyDescent="0.1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row>
    <row r="229" spans="1:46" ht="14.25" customHeight="1" x14ac:dyDescent="0.1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row>
    <row r="230" spans="1:46" ht="14.25" customHeight="1" x14ac:dyDescent="0.1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row>
    <row r="231" spans="1:46" ht="14.25" customHeight="1" x14ac:dyDescent="0.1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row>
    <row r="232" spans="1:46" ht="14.25" customHeight="1" x14ac:dyDescent="0.1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row>
    <row r="233" spans="1:46" ht="14.25" customHeight="1" x14ac:dyDescent="0.1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row>
    <row r="234" spans="1:46" ht="14.25" customHeight="1" x14ac:dyDescent="0.1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row>
    <row r="235" spans="1:46" ht="14.25" customHeight="1" x14ac:dyDescent="0.1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row>
    <row r="236" spans="1:46" ht="14.25" customHeight="1" x14ac:dyDescent="0.1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row>
    <row r="237" spans="1:46" ht="14.25" customHeight="1" x14ac:dyDescent="0.1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row>
    <row r="238" spans="1:46" ht="14.25" customHeight="1" x14ac:dyDescent="0.1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row>
    <row r="239" spans="1:46" ht="14.25" customHeight="1" x14ac:dyDescent="0.1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row>
    <row r="240" spans="1:46" ht="14.25" customHeight="1" x14ac:dyDescent="0.1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row>
    <row r="241" spans="1:46" ht="14.25" customHeight="1" x14ac:dyDescent="0.1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row>
    <row r="242" spans="1:46" ht="14.25" customHeight="1" x14ac:dyDescent="0.1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row>
    <row r="243" spans="1:46" ht="14.25" customHeight="1" x14ac:dyDescent="0.1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row>
    <row r="244" spans="1:46" ht="14.25" customHeight="1" x14ac:dyDescent="0.1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row>
    <row r="245" spans="1:46" ht="14.25" customHeight="1" x14ac:dyDescent="0.1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row>
    <row r="246" spans="1:46" ht="14.25" customHeight="1" x14ac:dyDescent="0.1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row>
    <row r="247" spans="1:46" ht="14.25" customHeight="1" x14ac:dyDescent="0.1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row>
    <row r="248" spans="1:46" ht="14.25" customHeight="1" x14ac:dyDescent="0.1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row>
    <row r="249" spans="1:46" ht="14.25" customHeight="1" x14ac:dyDescent="0.1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row>
    <row r="250" spans="1:46" ht="14.25" customHeight="1" x14ac:dyDescent="0.1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row>
    <row r="251" spans="1:46" ht="14.25" customHeight="1" x14ac:dyDescent="0.1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row>
    <row r="252" spans="1:46" ht="14.25" customHeight="1" x14ac:dyDescent="0.1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row>
    <row r="253" spans="1:46" ht="14.25" customHeight="1" x14ac:dyDescent="0.1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row>
    <row r="254" spans="1:46" ht="14.25" customHeight="1" x14ac:dyDescent="0.1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row>
    <row r="255" spans="1:46" ht="14.25" customHeight="1" x14ac:dyDescent="0.1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row>
    <row r="256" spans="1:46" ht="14.25" customHeight="1" x14ac:dyDescent="0.1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row>
    <row r="257" spans="1:46" ht="14.25" customHeight="1" x14ac:dyDescent="0.1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row>
    <row r="258" spans="1:46" ht="14.25" customHeight="1" x14ac:dyDescent="0.1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row>
    <row r="259" spans="1:46" ht="14.25" customHeight="1" x14ac:dyDescent="0.1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row>
    <row r="260" spans="1:46" ht="14.25" customHeight="1" x14ac:dyDescent="0.1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row>
    <row r="261" spans="1:46" ht="14.25" customHeight="1" x14ac:dyDescent="0.1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row>
    <row r="262" spans="1:46" ht="14.25" customHeight="1" x14ac:dyDescent="0.1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row>
    <row r="263" spans="1:46" ht="14.25" customHeight="1" x14ac:dyDescent="0.1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row>
    <row r="264" spans="1:46" ht="14.25" customHeight="1" x14ac:dyDescent="0.1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row>
    <row r="265" spans="1:46" ht="14.25" customHeight="1" x14ac:dyDescent="0.1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row>
    <row r="266" spans="1:46" ht="14.25" customHeight="1" x14ac:dyDescent="0.1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row>
    <row r="267" spans="1:46" ht="14.25" customHeight="1" x14ac:dyDescent="0.1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row>
    <row r="268" spans="1:46" ht="14.25" customHeight="1" x14ac:dyDescent="0.1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row>
    <row r="269" spans="1:46" ht="14.25" customHeight="1" x14ac:dyDescent="0.1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row>
    <row r="270" spans="1:46" ht="14.25" customHeight="1" x14ac:dyDescent="0.1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row>
    <row r="271" spans="1:46" ht="14.25" customHeight="1" x14ac:dyDescent="0.1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row>
    <row r="272" spans="1:46" ht="14.25" customHeight="1" x14ac:dyDescent="0.1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row>
    <row r="273" spans="1:46" ht="14.25" customHeight="1" x14ac:dyDescent="0.1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row>
    <row r="274" spans="1:46" ht="14.25" customHeight="1" x14ac:dyDescent="0.1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row>
    <row r="275" spans="1:46" ht="14.25" customHeight="1" x14ac:dyDescent="0.1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row>
    <row r="276" spans="1:46" ht="14.25" customHeight="1" x14ac:dyDescent="0.1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row>
    <row r="277" spans="1:46" ht="14.25" customHeight="1" x14ac:dyDescent="0.1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row>
    <row r="278" spans="1:46" ht="14.25" customHeight="1" x14ac:dyDescent="0.1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row>
    <row r="279" spans="1:46" ht="14.25" customHeight="1" x14ac:dyDescent="0.1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row>
    <row r="280" spans="1:46" ht="14.25" customHeight="1" x14ac:dyDescent="0.1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row>
    <row r="281" spans="1:46" ht="14.25" customHeight="1" x14ac:dyDescent="0.1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row>
    <row r="282" spans="1:46" ht="14.25" customHeight="1" x14ac:dyDescent="0.1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row>
    <row r="283" spans="1:46" ht="14.25" customHeight="1" x14ac:dyDescent="0.1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row>
    <row r="284" spans="1:46" ht="14.25" customHeight="1" x14ac:dyDescent="0.1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row>
    <row r="285" spans="1:46" ht="14.25" customHeight="1" x14ac:dyDescent="0.1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row>
    <row r="286" spans="1:46" ht="14.25" customHeight="1" x14ac:dyDescent="0.1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row>
    <row r="287" spans="1:46" ht="14.25" customHeight="1" x14ac:dyDescent="0.1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row>
    <row r="288" spans="1:46" ht="14.25" customHeight="1" x14ac:dyDescent="0.1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row>
    <row r="289" spans="1:46" ht="14.25" customHeight="1" x14ac:dyDescent="0.1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row>
    <row r="290" spans="1:46" ht="14.25" customHeight="1" x14ac:dyDescent="0.1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row>
    <row r="291" spans="1:46" ht="14.25" customHeight="1" x14ac:dyDescent="0.1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row>
    <row r="292" spans="1:46" ht="14.25" customHeight="1" x14ac:dyDescent="0.1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row>
    <row r="293" spans="1:46" ht="14.25" customHeight="1" x14ac:dyDescent="0.1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row>
    <row r="294" spans="1:46" ht="14.25" customHeight="1" x14ac:dyDescent="0.1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row>
    <row r="295" spans="1:46" ht="14.25" customHeight="1" x14ac:dyDescent="0.1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row>
    <row r="296" spans="1:46" ht="14.25" customHeight="1" x14ac:dyDescent="0.1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row>
    <row r="297" spans="1:46" ht="14.25" customHeight="1" x14ac:dyDescent="0.1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row>
    <row r="298" spans="1:46" ht="14.25" customHeight="1" x14ac:dyDescent="0.1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row>
    <row r="299" spans="1:46" ht="14.25" customHeight="1" x14ac:dyDescent="0.1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row>
    <row r="300" spans="1:46" ht="14.25" customHeight="1" x14ac:dyDescent="0.1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row>
    <row r="301" spans="1:46" ht="14.25" customHeight="1" x14ac:dyDescent="0.1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row>
    <row r="302" spans="1:46" ht="14.25" customHeight="1" x14ac:dyDescent="0.1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row>
    <row r="303" spans="1:46" ht="14.25" customHeight="1" x14ac:dyDescent="0.1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row>
    <row r="304" spans="1:46" ht="14.25" customHeight="1" x14ac:dyDescent="0.1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row>
    <row r="305" spans="1:46" ht="14.25" customHeight="1" x14ac:dyDescent="0.1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row>
    <row r="306" spans="1:46" ht="14.25" customHeight="1" x14ac:dyDescent="0.1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row>
    <row r="307" spans="1:46" ht="14.25" customHeight="1" x14ac:dyDescent="0.1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row>
    <row r="308" spans="1:46" ht="14.25" customHeight="1" x14ac:dyDescent="0.1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row>
    <row r="309" spans="1:46" ht="14.25" customHeight="1" x14ac:dyDescent="0.1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row>
    <row r="310" spans="1:46" ht="14.25" customHeight="1" x14ac:dyDescent="0.1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row>
    <row r="311" spans="1:46" ht="14.25" customHeight="1" x14ac:dyDescent="0.1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row>
    <row r="312" spans="1:46" ht="14.25" customHeight="1" x14ac:dyDescent="0.1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row>
    <row r="313" spans="1:46" ht="14.25" customHeight="1" x14ac:dyDescent="0.1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row>
    <row r="314" spans="1:46" ht="14.25" customHeight="1" x14ac:dyDescent="0.1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row>
    <row r="315" spans="1:46" ht="14.25" customHeight="1" x14ac:dyDescent="0.1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row>
    <row r="316" spans="1:46" ht="14.25" customHeight="1" x14ac:dyDescent="0.1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row>
    <row r="317" spans="1:46" ht="14.25" customHeight="1" x14ac:dyDescent="0.1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row>
    <row r="318" spans="1:46" ht="14.25" customHeight="1" x14ac:dyDescent="0.1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row>
    <row r="319" spans="1:46" ht="14.25" customHeight="1" x14ac:dyDescent="0.1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row>
    <row r="320" spans="1:46" ht="14.25" customHeight="1" x14ac:dyDescent="0.1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row>
    <row r="321" spans="1:46" ht="14.25" customHeight="1" x14ac:dyDescent="0.1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row>
    <row r="322" spans="1:46" ht="14.25" customHeight="1" x14ac:dyDescent="0.1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row>
    <row r="323" spans="1:46" ht="14.25" customHeight="1" x14ac:dyDescent="0.1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row>
    <row r="324" spans="1:46" ht="14.25" customHeight="1" x14ac:dyDescent="0.1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row>
    <row r="325" spans="1:46" ht="14.25" customHeight="1" x14ac:dyDescent="0.1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row>
    <row r="326" spans="1:46" ht="14.25" customHeight="1" x14ac:dyDescent="0.1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row>
    <row r="327" spans="1:46" ht="14.25" customHeight="1" x14ac:dyDescent="0.1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row>
    <row r="328" spans="1:46" ht="14.25" customHeight="1" x14ac:dyDescent="0.1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row>
    <row r="329" spans="1:46" ht="14.25" customHeight="1" x14ac:dyDescent="0.1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row>
    <row r="330" spans="1:46" ht="14.25" customHeight="1" x14ac:dyDescent="0.1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row>
    <row r="331" spans="1:46" ht="14.25" customHeight="1" x14ac:dyDescent="0.1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row>
    <row r="332" spans="1:46" ht="14.25" customHeight="1" x14ac:dyDescent="0.1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row>
    <row r="333" spans="1:46" ht="14.25" customHeight="1" x14ac:dyDescent="0.1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row>
    <row r="334" spans="1:46" ht="14.25" customHeight="1" x14ac:dyDescent="0.1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row>
    <row r="335" spans="1:46" ht="14.25" customHeight="1" x14ac:dyDescent="0.1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row>
    <row r="336" spans="1:46" ht="14.25" customHeight="1" x14ac:dyDescent="0.1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row>
    <row r="337" spans="1:46" ht="14.25" customHeight="1" x14ac:dyDescent="0.1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row>
    <row r="338" spans="1:46" ht="14.25" customHeight="1" x14ac:dyDescent="0.1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row>
    <row r="339" spans="1:46" ht="14.25" customHeight="1" x14ac:dyDescent="0.1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row>
    <row r="340" spans="1:46" ht="14.25" customHeight="1" x14ac:dyDescent="0.1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row>
    <row r="341" spans="1:46" ht="14.25" customHeight="1" x14ac:dyDescent="0.1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row>
    <row r="342" spans="1:46" ht="14.25" customHeight="1" x14ac:dyDescent="0.1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row>
    <row r="343" spans="1:46" ht="14.25" customHeight="1" x14ac:dyDescent="0.1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row>
    <row r="344" spans="1:46" ht="14.25" customHeight="1" x14ac:dyDescent="0.1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row>
    <row r="345" spans="1:46" ht="14.25" customHeight="1" x14ac:dyDescent="0.1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row>
    <row r="346" spans="1:46" ht="14.25" customHeight="1" x14ac:dyDescent="0.1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row>
    <row r="347" spans="1:46" ht="14.25" customHeight="1" x14ac:dyDescent="0.1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row>
    <row r="348" spans="1:46" ht="14.25" customHeight="1" x14ac:dyDescent="0.1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row>
    <row r="349" spans="1:46" ht="14.25" customHeight="1" x14ac:dyDescent="0.1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row>
    <row r="350" spans="1:46" ht="14.25" customHeight="1" x14ac:dyDescent="0.1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row>
    <row r="351" spans="1:46" ht="14.25" customHeight="1" x14ac:dyDescent="0.1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row>
    <row r="352" spans="1:46" ht="14.25" customHeight="1" x14ac:dyDescent="0.1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row>
    <row r="353" spans="1:46" ht="14.25" customHeight="1" x14ac:dyDescent="0.1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row>
    <row r="354" spans="1:46" ht="14.25" customHeight="1" x14ac:dyDescent="0.1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row>
    <row r="355" spans="1:46" ht="14.25" customHeight="1" x14ac:dyDescent="0.1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row>
    <row r="356" spans="1:46" ht="14.25" customHeight="1" x14ac:dyDescent="0.1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row>
    <row r="357" spans="1:46" ht="14.25" customHeight="1" x14ac:dyDescent="0.1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row>
    <row r="358" spans="1:46" ht="14.25" customHeight="1" x14ac:dyDescent="0.1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row>
    <row r="359" spans="1:46" ht="14.25" customHeight="1" x14ac:dyDescent="0.1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row>
    <row r="360" spans="1:46" ht="14.25" customHeight="1" x14ac:dyDescent="0.1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row>
    <row r="361" spans="1:46" ht="14.25" customHeight="1" x14ac:dyDescent="0.1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row>
    <row r="362" spans="1:46" ht="14.25" customHeight="1" x14ac:dyDescent="0.1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row>
    <row r="363" spans="1:46" ht="14.25" customHeight="1" x14ac:dyDescent="0.1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row>
    <row r="364" spans="1:46" ht="14.25" customHeight="1" x14ac:dyDescent="0.1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row>
    <row r="365" spans="1:46" ht="14.25" customHeight="1" x14ac:dyDescent="0.1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row>
    <row r="366" spans="1:46" ht="14.25" customHeight="1" x14ac:dyDescent="0.1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row>
    <row r="367" spans="1:46" ht="14.25" customHeight="1" x14ac:dyDescent="0.1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row>
    <row r="368" spans="1:46" ht="14.25" customHeight="1" x14ac:dyDescent="0.1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row>
    <row r="369" spans="1:46" ht="14.25" customHeight="1" x14ac:dyDescent="0.1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row>
    <row r="370" spans="1:46" ht="14.25" customHeight="1" x14ac:dyDescent="0.1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row>
    <row r="371" spans="1:46" ht="14.25" customHeight="1" x14ac:dyDescent="0.1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row>
    <row r="372" spans="1:46" ht="14.25" customHeight="1" x14ac:dyDescent="0.1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row>
    <row r="373" spans="1:46" ht="14.25" customHeight="1" x14ac:dyDescent="0.1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row>
    <row r="374" spans="1:46" ht="14.25" customHeight="1" x14ac:dyDescent="0.1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row>
    <row r="375" spans="1:46" ht="14.25" customHeight="1" x14ac:dyDescent="0.1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row>
    <row r="376" spans="1:46" ht="14.25" customHeight="1" x14ac:dyDescent="0.1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row>
    <row r="377" spans="1:46" ht="14.25" customHeight="1" x14ac:dyDescent="0.1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row>
    <row r="378" spans="1:46" ht="14.25" customHeight="1" x14ac:dyDescent="0.1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row>
    <row r="379" spans="1:46" ht="14.25" customHeight="1" x14ac:dyDescent="0.1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row>
    <row r="380" spans="1:46" ht="14.25" customHeight="1" x14ac:dyDescent="0.1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row>
    <row r="381" spans="1:46" ht="14.25" customHeight="1" x14ac:dyDescent="0.1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row>
    <row r="382" spans="1:46" ht="14.25" customHeight="1" x14ac:dyDescent="0.1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row>
    <row r="383" spans="1:46" ht="14.25" customHeight="1" x14ac:dyDescent="0.1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row>
    <row r="384" spans="1:46" ht="14.25" customHeight="1" x14ac:dyDescent="0.1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row>
    <row r="385" spans="1:46" ht="14.25" customHeight="1" x14ac:dyDescent="0.1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row>
    <row r="386" spans="1:46" ht="14.25" customHeight="1" x14ac:dyDescent="0.1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row>
    <row r="387" spans="1:46" ht="14.25" customHeight="1" x14ac:dyDescent="0.1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row>
    <row r="388" spans="1:46" ht="14.25" customHeight="1" x14ac:dyDescent="0.1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row>
    <row r="389" spans="1:46" ht="14.25" customHeight="1" x14ac:dyDescent="0.1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row>
    <row r="390" spans="1:46" ht="14.25" customHeight="1" x14ac:dyDescent="0.1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row>
    <row r="391" spans="1:46" ht="14.25" customHeight="1" x14ac:dyDescent="0.1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row>
    <row r="392" spans="1:46" ht="14.25" customHeight="1" x14ac:dyDescent="0.1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row>
    <row r="393" spans="1:46" ht="14.25" customHeight="1" x14ac:dyDescent="0.1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row>
    <row r="394" spans="1:46" ht="14.25" customHeight="1" x14ac:dyDescent="0.1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row>
    <row r="395" spans="1:46" ht="14.25" customHeight="1" x14ac:dyDescent="0.1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row>
    <row r="396" spans="1:46" ht="14.25" customHeight="1" x14ac:dyDescent="0.1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row>
    <row r="397" spans="1:46" ht="14.25" customHeight="1" x14ac:dyDescent="0.1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row>
    <row r="398" spans="1:46" ht="14.25" customHeight="1" x14ac:dyDescent="0.1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row>
    <row r="399" spans="1:46" ht="14.25" customHeight="1" x14ac:dyDescent="0.1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row>
    <row r="400" spans="1:46" ht="14.25" customHeight="1" x14ac:dyDescent="0.1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row>
    <row r="401" spans="1:46" ht="14.25" customHeight="1" x14ac:dyDescent="0.1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row>
    <row r="402" spans="1:46" ht="14.25" customHeight="1" x14ac:dyDescent="0.1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row>
    <row r="403" spans="1:46" ht="14.25" customHeight="1" x14ac:dyDescent="0.1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row>
    <row r="404" spans="1:46" ht="14.25" customHeight="1" x14ac:dyDescent="0.1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row>
    <row r="405" spans="1:46" ht="14.25" customHeight="1" x14ac:dyDescent="0.1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row>
    <row r="406" spans="1:46" ht="14.25" customHeight="1" x14ac:dyDescent="0.1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row>
    <row r="407" spans="1:46" ht="14.25" customHeight="1" x14ac:dyDescent="0.1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row>
    <row r="408" spans="1:46" ht="14.25" customHeight="1" x14ac:dyDescent="0.1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row>
    <row r="409" spans="1:46" ht="14.25" customHeight="1" x14ac:dyDescent="0.1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row>
    <row r="410" spans="1:46" ht="14.25" customHeight="1" x14ac:dyDescent="0.1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row>
    <row r="411" spans="1:46" ht="14.25" customHeight="1" x14ac:dyDescent="0.1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row>
    <row r="412" spans="1:46" ht="14.25" customHeight="1" x14ac:dyDescent="0.1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row>
    <row r="413" spans="1:46" ht="14.25" customHeight="1" x14ac:dyDescent="0.1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row>
    <row r="414" spans="1:46" ht="14.25" customHeight="1" x14ac:dyDescent="0.1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row>
    <row r="415" spans="1:46" ht="14.25" customHeight="1" x14ac:dyDescent="0.1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row>
    <row r="416" spans="1:46" ht="14.25" customHeight="1" x14ac:dyDescent="0.1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row>
    <row r="417" spans="1:46" ht="14.25" customHeight="1" x14ac:dyDescent="0.1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row>
    <row r="418" spans="1:46" ht="14.25" customHeight="1" x14ac:dyDescent="0.1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row>
    <row r="419" spans="1:46" ht="14.25" customHeight="1" x14ac:dyDescent="0.1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row>
    <row r="420" spans="1:46" ht="14.25" customHeight="1" x14ac:dyDescent="0.1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row>
    <row r="421" spans="1:46" ht="14.25" customHeight="1" x14ac:dyDescent="0.1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row>
    <row r="422" spans="1:46" ht="14.25" customHeight="1" x14ac:dyDescent="0.1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row>
    <row r="423" spans="1:46" ht="14.25" customHeight="1" x14ac:dyDescent="0.1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row>
    <row r="424" spans="1:46" ht="14.25" customHeight="1" x14ac:dyDescent="0.1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row>
    <row r="425" spans="1:46" ht="14.25" customHeight="1" x14ac:dyDescent="0.1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row>
    <row r="426" spans="1:46" ht="14.25" customHeight="1" x14ac:dyDescent="0.1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row>
    <row r="427" spans="1:46" ht="14.25" customHeight="1" x14ac:dyDescent="0.1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row>
    <row r="428" spans="1:46" ht="14.25" customHeight="1" x14ac:dyDescent="0.1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row>
    <row r="429" spans="1:46" ht="14.25" customHeight="1" x14ac:dyDescent="0.1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row>
    <row r="430" spans="1:46" ht="14.25" customHeight="1" x14ac:dyDescent="0.1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row>
    <row r="431" spans="1:46" ht="14.25" customHeight="1" x14ac:dyDescent="0.1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row>
    <row r="432" spans="1:46" ht="14.25" customHeight="1" x14ac:dyDescent="0.1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row>
    <row r="433" spans="1:46" ht="14.25" customHeight="1" x14ac:dyDescent="0.1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row>
    <row r="434" spans="1:46" ht="14.25" customHeight="1" x14ac:dyDescent="0.1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row>
    <row r="435" spans="1:46" ht="14.25" customHeight="1" x14ac:dyDescent="0.1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row>
    <row r="436" spans="1:46" ht="14.25" customHeight="1" x14ac:dyDescent="0.1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row>
    <row r="437" spans="1:46" ht="14.25" customHeight="1" x14ac:dyDescent="0.1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row>
    <row r="438" spans="1:46" ht="14.25" customHeight="1" x14ac:dyDescent="0.1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row>
    <row r="439" spans="1:46" ht="14.25" customHeight="1" x14ac:dyDescent="0.1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row>
    <row r="440" spans="1:46" ht="14.25" customHeight="1" x14ac:dyDescent="0.1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row>
    <row r="441" spans="1:46" ht="14.25" customHeight="1" x14ac:dyDescent="0.1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row>
    <row r="442" spans="1:46" ht="14.25" customHeight="1" x14ac:dyDescent="0.1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row>
    <row r="443" spans="1:46" ht="14.25" customHeight="1" x14ac:dyDescent="0.1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row>
    <row r="444" spans="1:46" ht="14.25" customHeight="1" x14ac:dyDescent="0.1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row>
    <row r="445" spans="1:46" ht="14.25" customHeight="1" x14ac:dyDescent="0.1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row>
    <row r="446" spans="1:46" ht="14.25" customHeight="1" x14ac:dyDescent="0.1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row>
    <row r="447" spans="1:46" ht="14.25" customHeight="1" x14ac:dyDescent="0.1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row>
    <row r="448" spans="1:46" ht="14.25" customHeight="1" x14ac:dyDescent="0.1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row>
    <row r="449" spans="1:46" ht="14.25" customHeight="1" x14ac:dyDescent="0.1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row>
    <row r="450" spans="1:46" ht="14.25" customHeight="1" x14ac:dyDescent="0.1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row>
    <row r="451" spans="1:46" ht="14.25" customHeight="1" x14ac:dyDescent="0.1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row>
    <row r="452" spans="1:46" ht="14.25" customHeight="1" x14ac:dyDescent="0.1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row>
    <row r="453" spans="1:46" ht="14.25" customHeight="1" x14ac:dyDescent="0.1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row>
    <row r="454" spans="1:46" ht="14.25" customHeight="1" x14ac:dyDescent="0.1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row>
    <row r="455" spans="1:46" ht="14.25" customHeight="1" x14ac:dyDescent="0.1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row>
    <row r="456" spans="1:46" ht="14.25" customHeight="1" x14ac:dyDescent="0.1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row>
    <row r="457" spans="1:46" ht="14.25" customHeight="1" x14ac:dyDescent="0.1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row>
    <row r="458" spans="1:46" ht="14.25" customHeight="1" x14ac:dyDescent="0.1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row>
    <row r="459" spans="1:46" ht="14.25" customHeight="1" x14ac:dyDescent="0.1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row>
    <row r="460" spans="1:46" ht="14.25" customHeight="1" x14ac:dyDescent="0.1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row>
    <row r="461" spans="1:46" ht="14.25" customHeight="1" x14ac:dyDescent="0.1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row>
    <row r="462" spans="1:46" ht="14.25" customHeight="1" x14ac:dyDescent="0.1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row>
    <row r="463" spans="1:46" ht="14.25" customHeight="1" x14ac:dyDescent="0.1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row>
    <row r="464" spans="1:46" ht="14.25" customHeight="1" x14ac:dyDescent="0.1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row>
    <row r="465" spans="1:46" ht="14.25" customHeight="1" x14ac:dyDescent="0.1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row>
    <row r="466" spans="1:46" ht="14.25" customHeight="1" x14ac:dyDescent="0.1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row>
    <row r="467" spans="1:46" ht="14.25" customHeight="1" x14ac:dyDescent="0.1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row>
    <row r="468" spans="1:46" ht="14.25" customHeight="1" x14ac:dyDescent="0.1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row>
    <row r="469" spans="1:46" ht="14.25" customHeight="1" x14ac:dyDescent="0.1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row>
    <row r="470" spans="1:46" ht="14.25" customHeight="1" x14ac:dyDescent="0.1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row>
    <row r="471" spans="1:46" ht="14.25" customHeight="1" x14ac:dyDescent="0.1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row>
    <row r="472" spans="1:46" ht="14.25" customHeight="1" x14ac:dyDescent="0.1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row>
    <row r="473" spans="1:46" ht="14.25" customHeight="1" x14ac:dyDescent="0.1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row>
    <row r="474" spans="1:46" ht="14.25" customHeight="1" x14ac:dyDescent="0.1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row>
    <row r="475" spans="1:46" ht="14.25" customHeight="1" x14ac:dyDescent="0.1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row>
    <row r="476" spans="1:46" ht="14.25" customHeight="1" x14ac:dyDescent="0.1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row>
    <row r="477" spans="1:46" ht="14.25" customHeight="1" x14ac:dyDescent="0.1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row>
    <row r="478" spans="1:46" ht="14.25" customHeight="1" x14ac:dyDescent="0.1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row>
    <row r="479" spans="1:46" ht="14.25" customHeight="1" x14ac:dyDescent="0.1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row>
    <row r="480" spans="1:46" ht="14.25" customHeight="1" x14ac:dyDescent="0.1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row>
    <row r="481" spans="1:46" ht="14.25" customHeight="1" x14ac:dyDescent="0.1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row>
    <row r="482" spans="1:46" ht="14.25" customHeight="1" x14ac:dyDescent="0.1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row>
    <row r="483" spans="1:46" ht="14.25" customHeight="1" x14ac:dyDescent="0.1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row>
    <row r="484" spans="1:46" ht="14.25" customHeight="1" x14ac:dyDescent="0.1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row>
    <row r="485" spans="1:46" ht="14.25" customHeight="1" x14ac:dyDescent="0.1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row>
    <row r="486" spans="1:46" ht="14.25" customHeight="1" x14ac:dyDescent="0.1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row>
    <row r="487" spans="1:46" ht="14.25" customHeight="1" x14ac:dyDescent="0.1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row>
    <row r="488" spans="1:46" ht="14.25" customHeight="1" x14ac:dyDescent="0.1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row>
    <row r="489" spans="1:46" ht="14.25" customHeight="1" x14ac:dyDescent="0.1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row>
    <row r="490" spans="1:46" ht="14.25" customHeight="1" x14ac:dyDescent="0.1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row>
    <row r="491" spans="1:46" ht="14.25" customHeight="1" x14ac:dyDescent="0.1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row>
    <row r="492" spans="1:46" ht="14.25" customHeight="1" x14ac:dyDescent="0.1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row>
    <row r="493" spans="1:46" ht="14.25" customHeight="1" x14ac:dyDescent="0.1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row>
    <row r="494" spans="1:46" ht="14.25" customHeight="1" x14ac:dyDescent="0.1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row>
    <row r="495" spans="1:46" ht="14.25" customHeight="1" x14ac:dyDescent="0.1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row>
    <row r="496" spans="1:46" ht="14.25" customHeight="1" x14ac:dyDescent="0.1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row>
    <row r="497" spans="1:46" ht="14.25" customHeight="1" x14ac:dyDescent="0.1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row>
    <row r="498" spans="1:46" ht="14.25" customHeight="1" x14ac:dyDescent="0.1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row>
    <row r="499" spans="1:46" ht="14.25" customHeight="1" x14ac:dyDescent="0.1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row>
    <row r="500" spans="1:46" ht="14.25" customHeight="1" x14ac:dyDescent="0.1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row>
    <row r="501" spans="1:46" ht="14.25" customHeight="1" x14ac:dyDescent="0.1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row>
    <row r="502" spans="1:46" ht="14.25" customHeight="1" x14ac:dyDescent="0.15">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row>
    <row r="503" spans="1:46" ht="14.25" customHeight="1" x14ac:dyDescent="0.15">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row>
    <row r="504" spans="1:46" ht="14.25" customHeight="1" x14ac:dyDescent="0.15">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row>
    <row r="505" spans="1:46" ht="14.25" customHeight="1" x14ac:dyDescent="0.15">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row>
    <row r="506" spans="1:46" ht="14.25" customHeight="1" x14ac:dyDescent="0.15">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row>
    <row r="507" spans="1:46" ht="14.25" customHeight="1" x14ac:dyDescent="0.15">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row>
    <row r="508" spans="1:46" ht="14.25" customHeight="1" x14ac:dyDescent="0.15">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row>
    <row r="509" spans="1:46" ht="14.25" customHeight="1" x14ac:dyDescent="0.15">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row>
    <row r="510" spans="1:46" ht="14.25" customHeight="1" x14ac:dyDescent="0.15">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row>
    <row r="511" spans="1:46" ht="14.25" customHeight="1" x14ac:dyDescent="0.15">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row>
    <row r="512" spans="1:46" ht="14.25" customHeight="1" x14ac:dyDescent="0.15">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row>
    <row r="513" spans="1:46" ht="14.25" customHeight="1" x14ac:dyDescent="0.15">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row>
    <row r="514" spans="1:46" ht="14.25" customHeight="1" x14ac:dyDescent="0.15">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row>
    <row r="515" spans="1:46" ht="14.25" customHeight="1" x14ac:dyDescent="0.15">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row>
    <row r="516" spans="1:46" ht="14.25" customHeight="1" x14ac:dyDescent="0.15">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row>
    <row r="517" spans="1:46" ht="14.25" customHeight="1" x14ac:dyDescent="0.15">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row>
    <row r="518" spans="1:46" ht="14.25" customHeight="1" x14ac:dyDescent="0.15">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row>
    <row r="519" spans="1:46" ht="14.25" customHeight="1" x14ac:dyDescent="0.15">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row>
    <row r="520" spans="1:46" ht="14.25" customHeight="1" x14ac:dyDescent="0.15">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row>
    <row r="521" spans="1:46" ht="14.25" customHeight="1" x14ac:dyDescent="0.15">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row>
    <row r="522" spans="1:46" ht="14.25" customHeight="1" x14ac:dyDescent="0.15">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row>
    <row r="523" spans="1:46" ht="14.25" customHeight="1" x14ac:dyDescent="0.1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row>
    <row r="524" spans="1:46" ht="14.25" customHeight="1" x14ac:dyDescent="0.15">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row>
    <row r="525" spans="1:46" ht="14.25" customHeight="1" x14ac:dyDescent="0.15">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row>
    <row r="526" spans="1:46" ht="14.25" customHeight="1" x14ac:dyDescent="0.15">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row>
    <row r="527" spans="1:46" ht="14.25" customHeight="1" x14ac:dyDescent="0.15">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row>
    <row r="528" spans="1:46" ht="14.25" customHeight="1" x14ac:dyDescent="0.15">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row>
    <row r="529" spans="1:46" ht="14.25" customHeight="1" x14ac:dyDescent="0.15">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row>
    <row r="530" spans="1:46" ht="14.25" customHeight="1" x14ac:dyDescent="0.15">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row>
    <row r="531" spans="1:46" ht="14.25" customHeight="1" x14ac:dyDescent="0.15">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row>
    <row r="532" spans="1:46" ht="14.25" customHeight="1" x14ac:dyDescent="0.15">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row>
    <row r="533" spans="1:46" ht="14.25" customHeight="1" x14ac:dyDescent="0.15">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row>
    <row r="534" spans="1:46" ht="14.25" customHeight="1" x14ac:dyDescent="0.15">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row>
    <row r="535" spans="1:46" ht="14.25" customHeight="1" x14ac:dyDescent="0.15">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row>
    <row r="536" spans="1:46" ht="14.25" customHeight="1" x14ac:dyDescent="0.15">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row>
    <row r="537" spans="1:46" ht="14.25" customHeight="1" x14ac:dyDescent="0.15">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row>
    <row r="538" spans="1:46" ht="14.25" customHeight="1" x14ac:dyDescent="0.15">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row>
    <row r="539" spans="1:46" ht="14.25" customHeight="1" x14ac:dyDescent="0.15">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row>
    <row r="540" spans="1:46" ht="14.25" customHeight="1" x14ac:dyDescent="0.15">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row>
    <row r="541" spans="1:46" ht="14.25" customHeight="1" x14ac:dyDescent="0.15">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row>
    <row r="542" spans="1:46" ht="14.25" customHeight="1" x14ac:dyDescent="0.15">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row>
    <row r="543" spans="1:46" ht="14.25" customHeight="1" x14ac:dyDescent="0.15">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row>
    <row r="544" spans="1:46" ht="14.25" customHeight="1" x14ac:dyDescent="0.15">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row>
    <row r="545" spans="1:46" ht="14.25" customHeight="1" x14ac:dyDescent="0.15">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row>
    <row r="546" spans="1:46" ht="14.25" customHeight="1" x14ac:dyDescent="0.15">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row>
    <row r="547" spans="1:46" ht="14.25" customHeight="1" x14ac:dyDescent="0.15">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row>
    <row r="548" spans="1:46" ht="14.25" customHeight="1" x14ac:dyDescent="0.15">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row>
    <row r="549" spans="1:46" ht="14.25" customHeight="1" x14ac:dyDescent="0.15">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row>
    <row r="550" spans="1:46" ht="14.25" customHeight="1" x14ac:dyDescent="0.15">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row>
    <row r="551" spans="1:46" ht="14.25" customHeight="1" x14ac:dyDescent="0.15">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row>
    <row r="552" spans="1:46" ht="14.25" customHeight="1" x14ac:dyDescent="0.15">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row>
    <row r="553" spans="1:46" ht="14.25" customHeight="1" x14ac:dyDescent="0.15">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row>
    <row r="554" spans="1:46" ht="14.25" customHeight="1" x14ac:dyDescent="0.15">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row>
    <row r="555" spans="1:46" ht="14.25" customHeight="1" x14ac:dyDescent="0.15">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row>
    <row r="556" spans="1:46" ht="14.25" customHeight="1" x14ac:dyDescent="0.15">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row>
    <row r="557" spans="1:46" ht="14.25" customHeight="1" x14ac:dyDescent="0.15">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row>
    <row r="558" spans="1:46" ht="14.25" customHeight="1" x14ac:dyDescent="0.15">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row>
    <row r="559" spans="1:46" ht="14.25" customHeight="1" x14ac:dyDescent="0.15">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row>
    <row r="560" spans="1:46" ht="14.25" customHeight="1" x14ac:dyDescent="0.15">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row>
    <row r="561" spans="1:46" ht="14.25" customHeight="1" x14ac:dyDescent="0.15">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row>
    <row r="562" spans="1:46" ht="14.25" customHeight="1" x14ac:dyDescent="0.15">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row>
    <row r="563" spans="1:46" ht="14.25" customHeight="1" x14ac:dyDescent="0.1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row>
    <row r="564" spans="1:46" ht="14.25" customHeight="1" x14ac:dyDescent="0.1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row>
    <row r="565" spans="1:46" ht="14.25" customHeight="1" x14ac:dyDescent="0.1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row>
    <row r="566" spans="1:46" ht="14.25" customHeight="1" x14ac:dyDescent="0.1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row>
    <row r="567" spans="1:46" ht="14.25" customHeight="1" x14ac:dyDescent="0.15">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row>
    <row r="568" spans="1:46" ht="14.25" customHeight="1" x14ac:dyDescent="0.15">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row>
    <row r="569" spans="1:46" ht="14.25" customHeight="1" x14ac:dyDescent="0.1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row>
    <row r="570" spans="1:46" ht="14.25" customHeight="1" x14ac:dyDescent="0.15">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row>
    <row r="571" spans="1:46" ht="14.25" customHeight="1" x14ac:dyDescent="0.15">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row>
    <row r="572" spans="1:46" ht="14.25" customHeight="1" x14ac:dyDescent="0.15">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row>
    <row r="573" spans="1:46" ht="14.25" customHeight="1" x14ac:dyDescent="0.15">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row>
    <row r="574" spans="1:46" ht="14.25" customHeight="1" x14ac:dyDescent="0.15">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row>
    <row r="575" spans="1:46" ht="14.25" customHeight="1" x14ac:dyDescent="0.15">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row>
    <row r="576" spans="1:46" ht="14.25" customHeight="1" x14ac:dyDescent="0.15">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row>
    <row r="577" spans="1:46" ht="14.25" customHeight="1" x14ac:dyDescent="0.15">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row>
    <row r="578" spans="1:46" ht="14.25" customHeight="1" x14ac:dyDescent="0.15">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row>
    <row r="579" spans="1:46" ht="14.25" customHeight="1" x14ac:dyDescent="0.15">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row>
    <row r="580" spans="1:46" ht="14.25" customHeight="1" x14ac:dyDescent="0.15">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row>
    <row r="581" spans="1:46" ht="14.25" customHeight="1" x14ac:dyDescent="0.15">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row>
    <row r="582" spans="1:46" ht="14.25" customHeight="1" x14ac:dyDescent="0.15">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row>
    <row r="583" spans="1:46" ht="14.25" customHeight="1" x14ac:dyDescent="0.15">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row>
    <row r="584" spans="1:46" ht="14.25" customHeight="1" x14ac:dyDescent="0.15">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row>
    <row r="585" spans="1:46" ht="14.25" customHeight="1" x14ac:dyDescent="0.15">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row>
    <row r="586" spans="1:46" ht="14.25" customHeight="1" x14ac:dyDescent="0.15">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row>
    <row r="587" spans="1:46" ht="14.25" customHeight="1" x14ac:dyDescent="0.15">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row>
    <row r="588" spans="1:46" ht="14.25" customHeight="1" x14ac:dyDescent="0.15">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row>
    <row r="589" spans="1:46" ht="14.25" customHeight="1" x14ac:dyDescent="0.15">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row>
    <row r="590" spans="1:46" ht="14.25" customHeight="1" x14ac:dyDescent="0.15">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row>
    <row r="591" spans="1:46" ht="14.25" customHeight="1" x14ac:dyDescent="0.15">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row>
    <row r="592" spans="1:46" ht="14.25" customHeight="1" x14ac:dyDescent="0.15">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row>
    <row r="593" spans="1:46" ht="14.25" customHeight="1" x14ac:dyDescent="0.15">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row>
    <row r="594" spans="1:46" ht="14.25" customHeight="1" x14ac:dyDescent="0.15">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row>
    <row r="595" spans="1:46" ht="14.25" customHeight="1" x14ac:dyDescent="0.15">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row>
    <row r="596" spans="1:46" ht="14.25" customHeight="1" x14ac:dyDescent="0.15">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row>
    <row r="597" spans="1:46" ht="14.25" customHeight="1" x14ac:dyDescent="0.15">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row>
    <row r="598" spans="1:46" ht="14.25" customHeight="1" x14ac:dyDescent="0.15">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row>
    <row r="599" spans="1:46" ht="14.25" customHeight="1" x14ac:dyDescent="0.15">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row>
    <row r="600" spans="1:46" ht="14.25" customHeight="1" x14ac:dyDescent="0.15">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row>
    <row r="601" spans="1:46" ht="14.25" customHeight="1" x14ac:dyDescent="0.1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row>
    <row r="602" spans="1:46" ht="14.25" customHeight="1" x14ac:dyDescent="0.1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row>
    <row r="603" spans="1:46" ht="14.25" customHeight="1" x14ac:dyDescent="0.1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row>
    <row r="604" spans="1:46" ht="14.25" customHeight="1" x14ac:dyDescent="0.1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row>
    <row r="605" spans="1:46" ht="14.25" customHeight="1" x14ac:dyDescent="0.1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row>
    <row r="606" spans="1:46" ht="14.25" customHeight="1" x14ac:dyDescent="0.1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row>
    <row r="607" spans="1:46" ht="14.25" customHeight="1" x14ac:dyDescent="0.1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row>
    <row r="608" spans="1:46" ht="14.25" customHeight="1" x14ac:dyDescent="0.1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row>
    <row r="609" spans="1:46" ht="14.25" customHeight="1" x14ac:dyDescent="0.1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row>
    <row r="610" spans="1:46" ht="14.25" customHeight="1" x14ac:dyDescent="0.1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row>
    <row r="611" spans="1:46" ht="14.25" customHeight="1" x14ac:dyDescent="0.1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row>
    <row r="612" spans="1:46" ht="14.25" customHeight="1" x14ac:dyDescent="0.1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row>
    <row r="613" spans="1:46" ht="14.25" customHeight="1" x14ac:dyDescent="0.1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row>
    <row r="614" spans="1:46" ht="14.25" customHeight="1" x14ac:dyDescent="0.1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row>
    <row r="615" spans="1:46" ht="14.25" customHeight="1" x14ac:dyDescent="0.1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row>
    <row r="616" spans="1:46" ht="14.25" customHeight="1" x14ac:dyDescent="0.1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row>
    <row r="617" spans="1:46" ht="14.25" customHeight="1" x14ac:dyDescent="0.1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row>
    <row r="618" spans="1:46" ht="14.25" customHeight="1" x14ac:dyDescent="0.1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row>
    <row r="619" spans="1:46" ht="14.25" customHeight="1" x14ac:dyDescent="0.1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row>
    <row r="620" spans="1:46" ht="14.25" customHeight="1" x14ac:dyDescent="0.1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row>
    <row r="621" spans="1:46" ht="14.25" customHeight="1" x14ac:dyDescent="0.1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row>
    <row r="622" spans="1:46" ht="14.25" customHeight="1" x14ac:dyDescent="0.1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row>
    <row r="623" spans="1:46" ht="14.25" customHeight="1" x14ac:dyDescent="0.1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row>
    <row r="624" spans="1:46" ht="14.25" customHeight="1" x14ac:dyDescent="0.1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row>
    <row r="625" spans="1:46" ht="14.25" customHeight="1" x14ac:dyDescent="0.1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row>
    <row r="626" spans="1:46" ht="14.25" customHeight="1" x14ac:dyDescent="0.1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row>
    <row r="627" spans="1:46" ht="14.25" customHeight="1" x14ac:dyDescent="0.1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row>
    <row r="628" spans="1:46" ht="14.25" customHeight="1" x14ac:dyDescent="0.1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row>
    <row r="629" spans="1:46" ht="14.25" customHeight="1" x14ac:dyDescent="0.1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row>
    <row r="630" spans="1:46" ht="14.25" customHeight="1" x14ac:dyDescent="0.1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row>
    <row r="631" spans="1:46" ht="14.25" customHeight="1" x14ac:dyDescent="0.1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row>
    <row r="632" spans="1:46" ht="14.25" customHeight="1" x14ac:dyDescent="0.1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row>
    <row r="633" spans="1:46" ht="14.25" customHeight="1" x14ac:dyDescent="0.1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row>
    <row r="634" spans="1:46" ht="14.25" customHeight="1" x14ac:dyDescent="0.1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row>
    <row r="635" spans="1:46" ht="14.25" customHeight="1" x14ac:dyDescent="0.1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row>
    <row r="636" spans="1:46" ht="14.25" customHeight="1" x14ac:dyDescent="0.1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row>
    <row r="637" spans="1:46" ht="14.25" customHeight="1" x14ac:dyDescent="0.1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row>
    <row r="638" spans="1:46" ht="14.25" customHeight="1" x14ac:dyDescent="0.1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row>
    <row r="639" spans="1:46" ht="14.25" customHeight="1" x14ac:dyDescent="0.1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row>
    <row r="640" spans="1:46" ht="14.25" customHeight="1" x14ac:dyDescent="0.1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row>
    <row r="641" spans="1:46" ht="14.25" customHeight="1" x14ac:dyDescent="0.1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row>
    <row r="642" spans="1:46" ht="14.25" customHeight="1" x14ac:dyDescent="0.1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row>
    <row r="643" spans="1:46" ht="14.25" customHeight="1" x14ac:dyDescent="0.1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row>
    <row r="644" spans="1:46" ht="14.25" customHeight="1" x14ac:dyDescent="0.1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row>
    <row r="645" spans="1:46" ht="14.25" customHeight="1" x14ac:dyDescent="0.1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row>
    <row r="646" spans="1:46" ht="14.25" customHeight="1" x14ac:dyDescent="0.1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row>
    <row r="647" spans="1:46" ht="14.25" customHeight="1" x14ac:dyDescent="0.1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row>
    <row r="648" spans="1:46" ht="14.25" customHeight="1" x14ac:dyDescent="0.1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row>
    <row r="649" spans="1:46" ht="14.25" customHeight="1" x14ac:dyDescent="0.1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row>
    <row r="650" spans="1:46" ht="14.25" customHeight="1" x14ac:dyDescent="0.1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row>
    <row r="651" spans="1:46" ht="14.25" customHeight="1" x14ac:dyDescent="0.1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row>
    <row r="652" spans="1:46" ht="14.25" customHeight="1" x14ac:dyDescent="0.1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row>
    <row r="653" spans="1:46" ht="14.25" customHeight="1" x14ac:dyDescent="0.1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row>
    <row r="654" spans="1:46" ht="14.25" customHeight="1" x14ac:dyDescent="0.1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row>
    <row r="655" spans="1:46" ht="14.25" customHeight="1" x14ac:dyDescent="0.1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row>
    <row r="656" spans="1:46" ht="14.25" customHeight="1" x14ac:dyDescent="0.1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row>
    <row r="657" spans="1:46" ht="14.25" customHeight="1" x14ac:dyDescent="0.1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row>
    <row r="658" spans="1:46" ht="14.25" customHeight="1" x14ac:dyDescent="0.1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row>
    <row r="659" spans="1:46" ht="14.25" customHeight="1" x14ac:dyDescent="0.1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row>
    <row r="660" spans="1:46" ht="14.25" customHeight="1" x14ac:dyDescent="0.1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row>
    <row r="661" spans="1:46" ht="14.25" customHeight="1" x14ac:dyDescent="0.1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row>
    <row r="662" spans="1:46" ht="14.25" customHeight="1" x14ac:dyDescent="0.1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row>
    <row r="663" spans="1:46" ht="14.25" customHeight="1" x14ac:dyDescent="0.1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row>
    <row r="664" spans="1:46" ht="14.25" customHeight="1" x14ac:dyDescent="0.1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row>
    <row r="665" spans="1:46" ht="14.25" customHeight="1" x14ac:dyDescent="0.1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row>
    <row r="666" spans="1:46" ht="14.25" customHeight="1" x14ac:dyDescent="0.1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row>
    <row r="667" spans="1:46" ht="14.25" customHeight="1" x14ac:dyDescent="0.1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row>
    <row r="668" spans="1:46" ht="14.25" customHeight="1" x14ac:dyDescent="0.1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row>
    <row r="669" spans="1:46" ht="14.25" customHeight="1" x14ac:dyDescent="0.1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row>
    <row r="670" spans="1:46" ht="14.25" customHeight="1" x14ac:dyDescent="0.1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row>
    <row r="671" spans="1:46" ht="14.25" customHeight="1" x14ac:dyDescent="0.1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row>
    <row r="672" spans="1:46" ht="14.25" customHeight="1" x14ac:dyDescent="0.1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row>
    <row r="673" spans="1:46" ht="14.25" customHeight="1" x14ac:dyDescent="0.1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row>
    <row r="674" spans="1:46" ht="14.25" customHeight="1" x14ac:dyDescent="0.1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row>
    <row r="675" spans="1:46" ht="14.25" customHeight="1" x14ac:dyDescent="0.1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row>
    <row r="676" spans="1:46" ht="14.25" customHeight="1" x14ac:dyDescent="0.1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row>
    <row r="677" spans="1:46" ht="14.25" customHeight="1" x14ac:dyDescent="0.1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row>
    <row r="678" spans="1:46" ht="14.25" customHeight="1" x14ac:dyDescent="0.1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row>
    <row r="679" spans="1:46" ht="14.25" customHeight="1" x14ac:dyDescent="0.1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row>
    <row r="680" spans="1:46" ht="14.25" customHeight="1" x14ac:dyDescent="0.1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row>
    <row r="681" spans="1:46" ht="14.25" customHeight="1" x14ac:dyDescent="0.1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row>
    <row r="682" spans="1:46" ht="14.25" customHeight="1" x14ac:dyDescent="0.1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row>
    <row r="683" spans="1:46" ht="14.25" customHeight="1" x14ac:dyDescent="0.1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row>
    <row r="684" spans="1:46" ht="14.25" customHeight="1" x14ac:dyDescent="0.1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row>
    <row r="685" spans="1:46" ht="14.25" customHeight="1" x14ac:dyDescent="0.1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row>
    <row r="686" spans="1:46" ht="14.25" customHeight="1" x14ac:dyDescent="0.1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row>
    <row r="687" spans="1:46" ht="14.25" customHeight="1" x14ac:dyDescent="0.1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row>
    <row r="688" spans="1:46" ht="14.25" customHeight="1" x14ac:dyDescent="0.1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row>
    <row r="689" spans="1:46" ht="14.25" customHeight="1" x14ac:dyDescent="0.1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row>
    <row r="690" spans="1:46" ht="14.25" customHeight="1" x14ac:dyDescent="0.1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row>
    <row r="691" spans="1:46" ht="14.25" customHeight="1" x14ac:dyDescent="0.1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row>
    <row r="692" spans="1:46" ht="14.25" customHeight="1" x14ac:dyDescent="0.1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row>
    <row r="693" spans="1:46" ht="14.25" customHeight="1" x14ac:dyDescent="0.1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row>
    <row r="694" spans="1:46" ht="14.25" customHeight="1" x14ac:dyDescent="0.1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row>
    <row r="695" spans="1:46" ht="14.25" customHeight="1" x14ac:dyDescent="0.1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row>
    <row r="696" spans="1:46" ht="14.25" customHeight="1" x14ac:dyDescent="0.1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row>
    <row r="697" spans="1:46" ht="14.25" customHeight="1" x14ac:dyDescent="0.1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row>
    <row r="698" spans="1:46" ht="14.25" customHeight="1" x14ac:dyDescent="0.1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row>
    <row r="699" spans="1:46" ht="14.25" customHeight="1" x14ac:dyDescent="0.1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row>
    <row r="700" spans="1:46" ht="14.25" customHeight="1" x14ac:dyDescent="0.1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row>
    <row r="701" spans="1:46" ht="14.25" customHeight="1" x14ac:dyDescent="0.1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row>
    <row r="702" spans="1:46" ht="14.25" customHeight="1" x14ac:dyDescent="0.1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row>
    <row r="703" spans="1:46" ht="14.25" customHeight="1" x14ac:dyDescent="0.1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row>
    <row r="704" spans="1:46" ht="14.25" customHeight="1" x14ac:dyDescent="0.1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row>
    <row r="705" spans="1:46" ht="14.25" customHeight="1" x14ac:dyDescent="0.1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row>
    <row r="706" spans="1:46" ht="14.25" customHeight="1" x14ac:dyDescent="0.1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row>
    <row r="707" spans="1:46" ht="14.25" customHeight="1" x14ac:dyDescent="0.1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row>
    <row r="708" spans="1:46" ht="14.25" customHeight="1" x14ac:dyDescent="0.1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row>
    <row r="709" spans="1:46" ht="14.25" customHeight="1" x14ac:dyDescent="0.1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row>
    <row r="710" spans="1:46" ht="14.25" customHeight="1" x14ac:dyDescent="0.1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row>
    <row r="711" spans="1:46" ht="14.25" customHeight="1" x14ac:dyDescent="0.1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row>
    <row r="712" spans="1:46" ht="14.25" customHeight="1" x14ac:dyDescent="0.1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row>
    <row r="713" spans="1:46" ht="14.25" customHeight="1" x14ac:dyDescent="0.1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row>
    <row r="714" spans="1:46" ht="14.25" customHeight="1" x14ac:dyDescent="0.1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row>
    <row r="715" spans="1:46" ht="14.25" customHeight="1" x14ac:dyDescent="0.1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row>
    <row r="716" spans="1:46" ht="14.25" customHeight="1" x14ac:dyDescent="0.1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row>
    <row r="717" spans="1:46" ht="14.25" customHeight="1" x14ac:dyDescent="0.1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row>
    <row r="718" spans="1:46" ht="14.25" customHeight="1" x14ac:dyDescent="0.1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row>
    <row r="719" spans="1:46" ht="14.25" customHeight="1" x14ac:dyDescent="0.1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row>
    <row r="720" spans="1:46" ht="14.25" customHeight="1" x14ac:dyDescent="0.1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row>
    <row r="721" spans="1:46" ht="14.25" customHeight="1" x14ac:dyDescent="0.1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row>
    <row r="722" spans="1:46" ht="14.25" customHeight="1" x14ac:dyDescent="0.1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row>
    <row r="723" spans="1:46" ht="14.25" customHeight="1" x14ac:dyDescent="0.1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row>
    <row r="724" spans="1:46" ht="14.25" customHeight="1" x14ac:dyDescent="0.1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row>
    <row r="725" spans="1:46" ht="14.25" customHeight="1" x14ac:dyDescent="0.1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row>
    <row r="726" spans="1:46" ht="14.25" customHeight="1" x14ac:dyDescent="0.1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row>
    <row r="727" spans="1:46" ht="14.25" customHeight="1" x14ac:dyDescent="0.1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row>
    <row r="728" spans="1:46" ht="14.25" customHeight="1" x14ac:dyDescent="0.1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row>
    <row r="729" spans="1:46" ht="14.25" customHeight="1" x14ac:dyDescent="0.1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row>
    <row r="730" spans="1:46" ht="14.25" customHeight="1" x14ac:dyDescent="0.1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row>
    <row r="731" spans="1:46" ht="14.25" customHeight="1" x14ac:dyDescent="0.1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row>
    <row r="732" spans="1:46" ht="14.25" customHeight="1" x14ac:dyDescent="0.1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row>
    <row r="733" spans="1:46" ht="14.25" customHeight="1" x14ac:dyDescent="0.1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row>
    <row r="734" spans="1:46" ht="14.25" customHeight="1" x14ac:dyDescent="0.1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row>
    <row r="735" spans="1:46" ht="14.25" customHeight="1" x14ac:dyDescent="0.1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row>
    <row r="736" spans="1:46" ht="14.25" customHeight="1" x14ac:dyDescent="0.1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row>
    <row r="737" spans="1:46" ht="14.25" customHeight="1" x14ac:dyDescent="0.1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row>
    <row r="738" spans="1:46" ht="14.25" customHeight="1" x14ac:dyDescent="0.1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row>
    <row r="739" spans="1:46" ht="14.25" customHeight="1" x14ac:dyDescent="0.1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row>
    <row r="740" spans="1:46" ht="14.25" customHeight="1" x14ac:dyDescent="0.1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row>
    <row r="741" spans="1:46" ht="14.25" customHeight="1" x14ac:dyDescent="0.1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row>
    <row r="742" spans="1:46" ht="14.25" customHeight="1" x14ac:dyDescent="0.1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row>
    <row r="743" spans="1:46" ht="14.25" customHeight="1" x14ac:dyDescent="0.1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row>
    <row r="744" spans="1:46" ht="14.25" customHeight="1" x14ac:dyDescent="0.1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row>
    <row r="745" spans="1:46" ht="14.25" customHeight="1" x14ac:dyDescent="0.1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row>
    <row r="746" spans="1:46" ht="14.25" customHeight="1" x14ac:dyDescent="0.1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row>
    <row r="747" spans="1:46" ht="14.25" customHeight="1" x14ac:dyDescent="0.1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row>
    <row r="748" spans="1:46" ht="14.25" customHeight="1" x14ac:dyDescent="0.1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row>
    <row r="749" spans="1:46" ht="14.25" customHeight="1" x14ac:dyDescent="0.1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row>
    <row r="750" spans="1:46" ht="14.25" customHeight="1" x14ac:dyDescent="0.1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row>
    <row r="751" spans="1:46" ht="14.25" customHeight="1" x14ac:dyDescent="0.1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row>
    <row r="752" spans="1:46" ht="14.25" customHeight="1" x14ac:dyDescent="0.1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row>
    <row r="753" spans="1:46" ht="14.25" customHeight="1" x14ac:dyDescent="0.1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row>
    <row r="754" spans="1:46" ht="14.25" customHeight="1" x14ac:dyDescent="0.1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row>
    <row r="755" spans="1:46" ht="14.25" customHeight="1" x14ac:dyDescent="0.1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row>
    <row r="756" spans="1:46" ht="14.25" customHeight="1" x14ac:dyDescent="0.1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row>
    <row r="757" spans="1:46" ht="14.25" customHeight="1" x14ac:dyDescent="0.1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row>
    <row r="758" spans="1:46" ht="14.25" customHeight="1" x14ac:dyDescent="0.1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row>
    <row r="759" spans="1:46" ht="14.25" customHeight="1" x14ac:dyDescent="0.1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row>
    <row r="760" spans="1:46" ht="14.25" customHeight="1" x14ac:dyDescent="0.1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row>
    <row r="761" spans="1:46" ht="14.25" customHeight="1" x14ac:dyDescent="0.1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row>
    <row r="762" spans="1:46" ht="14.25" customHeight="1" x14ac:dyDescent="0.1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row>
    <row r="763" spans="1:46" ht="14.25" customHeight="1" x14ac:dyDescent="0.1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row>
    <row r="764" spans="1:46" ht="14.25" customHeight="1" x14ac:dyDescent="0.1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row>
    <row r="765" spans="1:46" ht="14.25" customHeight="1" x14ac:dyDescent="0.1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row>
    <row r="766" spans="1:46" ht="14.25" customHeight="1" x14ac:dyDescent="0.1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row>
    <row r="767" spans="1:46" ht="14.25" customHeight="1" x14ac:dyDescent="0.1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row>
    <row r="768" spans="1:46" ht="14.25" customHeight="1" x14ac:dyDescent="0.1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row>
    <row r="769" spans="1:46" ht="14.25" customHeight="1" x14ac:dyDescent="0.1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row>
    <row r="770" spans="1:46" ht="14.25" customHeight="1" x14ac:dyDescent="0.1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row>
    <row r="771" spans="1:46" ht="14.25" customHeight="1" x14ac:dyDescent="0.1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row>
    <row r="772" spans="1:46" ht="14.25" customHeight="1" x14ac:dyDescent="0.1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row>
    <row r="773" spans="1:46" ht="14.25" customHeight="1" x14ac:dyDescent="0.1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row>
    <row r="774" spans="1:46" ht="14.25" customHeight="1" x14ac:dyDescent="0.1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row>
    <row r="775" spans="1:46" ht="14.25" customHeight="1" x14ac:dyDescent="0.1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row>
    <row r="776" spans="1:46" ht="14.25" customHeight="1" x14ac:dyDescent="0.1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row>
    <row r="777" spans="1:46" ht="14.25" customHeight="1" x14ac:dyDescent="0.1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row>
    <row r="778" spans="1:46" ht="14.25" customHeight="1" x14ac:dyDescent="0.1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row>
    <row r="779" spans="1:46" ht="14.25" customHeight="1" x14ac:dyDescent="0.1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row>
    <row r="780" spans="1:46" ht="14.25" customHeight="1" x14ac:dyDescent="0.1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row>
    <row r="781" spans="1:46" ht="14.25" customHeight="1" x14ac:dyDescent="0.1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row>
    <row r="782" spans="1:46" ht="14.25" customHeight="1" x14ac:dyDescent="0.1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row>
    <row r="783" spans="1:46" ht="14.25" customHeight="1" x14ac:dyDescent="0.1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row>
    <row r="784" spans="1:46" ht="14.25" customHeight="1" x14ac:dyDescent="0.1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row>
    <row r="785" spans="1:46" ht="14.25" customHeight="1" x14ac:dyDescent="0.1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row>
    <row r="786" spans="1:46" ht="14.25" customHeight="1" x14ac:dyDescent="0.1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row>
    <row r="787" spans="1:46" ht="14.25" customHeight="1" x14ac:dyDescent="0.1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row>
    <row r="788" spans="1:46" ht="14.25" customHeight="1" x14ac:dyDescent="0.1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row>
    <row r="789" spans="1:46" ht="14.25" customHeight="1" x14ac:dyDescent="0.1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row>
    <row r="790" spans="1:46" ht="14.25" customHeight="1" x14ac:dyDescent="0.1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row>
    <row r="791" spans="1:46" ht="14.25" customHeight="1" x14ac:dyDescent="0.1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row>
    <row r="792" spans="1:46" ht="14.25" customHeight="1" x14ac:dyDescent="0.1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row>
    <row r="793" spans="1:46" ht="14.25" customHeight="1" x14ac:dyDescent="0.1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row>
    <row r="794" spans="1:46" ht="14.25" customHeight="1" x14ac:dyDescent="0.1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row>
    <row r="795" spans="1:46" ht="14.25" customHeight="1" x14ac:dyDescent="0.1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row>
    <row r="796" spans="1:46" ht="14.25" customHeight="1" x14ac:dyDescent="0.1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row>
    <row r="797" spans="1:46" ht="14.25" customHeight="1" x14ac:dyDescent="0.1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row>
    <row r="798" spans="1:46" ht="14.25" customHeight="1" x14ac:dyDescent="0.1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row>
    <row r="799" spans="1:46" ht="14.25" customHeight="1" x14ac:dyDescent="0.1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row>
    <row r="800" spans="1:46" ht="14.25" customHeight="1" x14ac:dyDescent="0.1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row>
    <row r="801" spans="1:46" ht="14.25" customHeight="1" x14ac:dyDescent="0.1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row>
    <row r="802" spans="1:46" ht="14.25" customHeight="1" x14ac:dyDescent="0.1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row>
    <row r="803" spans="1:46" ht="14.25" customHeight="1" x14ac:dyDescent="0.1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row>
    <row r="804" spans="1:46" ht="14.25" customHeight="1" x14ac:dyDescent="0.1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row>
    <row r="805" spans="1:46" ht="14.25" customHeight="1" x14ac:dyDescent="0.1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row>
    <row r="806" spans="1:46" ht="14.25" customHeight="1" x14ac:dyDescent="0.1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row>
    <row r="807" spans="1:46" ht="14.25" customHeight="1" x14ac:dyDescent="0.1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row>
    <row r="808" spans="1:46" ht="14.25" customHeight="1" x14ac:dyDescent="0.1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row>
    <row r="809" spans="1:46" ht="14.25" customHeight="1" x14ac:dyDescent="0.1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row>
    <row r="810" spans="1:46" ht="14.25" customHeight="1" x14ac:dyDescent="0.1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row>
    <row r="811" spans="1:46" ht="14.25" customHeight="1" x14ac:dyDescent="0.1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row>
    <row r="812" spans="1:46" ht="14.25" customHeight="1" x14ac:dyDescent="0.1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row>
    <row r="813" spans="1:46" ht="14.25" customHeight="1" x14ac:dyDescent="0.1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row>
    <row r="814" spans="1:46" ht="14.25" customHeight="1" x14ac:dyDescent="0.1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row>
    <row r="815" spans="1:46" ht="14.25" customHeight="1" x14ac:dyDescent="0.1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row>
    <row r="816" spans="1:46" ht="14.25" customHeight="1" x14ac:dyDescent="0.1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row>
    <row r="817" spans="1:46" ht="14.25" customHeight="1" x14ac:dyDescent="0.1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row>
    <row r="818" spans="1:46" ht="14.25" customHeight="1" x14ac:dyDescent="0.1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row>
    <row r="819" spans="1:46" ht="14.25" customHeight="1" x14ac:dyDescent="0.1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row>
    <row r="820" spans="1:46" ht="14.25" customHeight="1" x14ac:dyDescent="0.1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row>
    <row r="821" spans="1:46" ht="14.25" customHeight="1" x14ac:dyDescent="0.1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row>
    <row r="822" spans="1:46" ht="14.25" customHeight="1" x14ac:dyDescent="0.1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row>
    <row r="823" spans="1:46" ht="14.25" customHeight="1" x14ac:dyDescent="0.1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row>
    <row r="824" spans="1:46" ht="14.25" customHeight="1" x14ac:dyDescent="0.1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row>
    <row r="825" spans="1:46" ht="14.25" customHeight="1" x14ac:dyDescent="0.1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row>
    <row r="826" spans="1:46" ht="14.25" customHeight="1" x14ac:dyDescent="0.1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row>
    <row r="827" spans="1:46" ht="14.25" customHeight="1" x14ac:dyDescent="0.1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row>
    <row r="828" spans="1:46" ht="14.25" customHeight="1" x14ac:dyDescent="0.1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row>
    <row r="829" spans="1:46" ht="14.25" customHeight="1" x14ac:dyDescent="0.1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row>
    <row r="830" spans="1:46" ht="14.25" customHeight="1" x14ac:dyDescent="0.1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row>
    <row r="831" spans="1:46" ht="14.25" customHeight="1" x14ac:dyDescent="0.1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row>
    <row r="832" spans="1:46" ht="14.25" customHeight="1" x14ac:dyDescent="0.1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row>
    <row r="833" spans="1:46" ht="14.25" customHeight="1" x14ac:dyDescent="0.1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row>
    <row r="834" spans="1:46" ht="14.25" customHeight="1" x14ac:dyDescent="0.1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row>
    <row r="835" spans="1:46" ht="14.25" customHeight="1" x14ac:dyDescent="0.1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row>
    <row r="836" spans="1:46" ht="14.25" customHeight="1" x14ac:dyDescent="0.1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row>
    <row r="837" spans="1:46" ht="14.25" customHeight="1" x14ac:dyDescent="0.1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row>
    <row r="838" spans="1:46" ht="14.25" customHeight="1" x14ac:dyDescent="0.1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row>
    <row r="839" spans="1:46" ht="14.25" customHeight="1" x14ac:dyDescent="0.1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row>
    <row r="840" spans="1:46" ht="14.25" customHeight="1" x14ac:dyDescent="0.1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row>
    <row r="841" spans="1:46" ht="14.25" customHeight="1" x14ac:dyDescent="0.1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row>
    <row r="842" spans="1:46" ht="14.25" customHeight="1" x14ac:dyDescent="0.1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row>
    <row r="843" spans="1:46" ht="14.25" customHeight="1" x14ac:dyDescent="0.1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row>
    <row r="844" spans="1:46" ht="14.25" customHeight="1" x14ac:dyDescent="0.1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row>
    <row r="845" spans="1:46" ht="14.25" customHeight="1" x14ac:dyDescent="0.1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row>
    <row r="846" spans="1:46" ht="14.25" customHeight="1" x14ac:dyDescent="0.1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row>
    <row r="847" spans="1:46" ht="14.25" customHeight="1" x14ac:dyDescent="0.1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row>
    <row r="848" spans="1:46" ht="14.25" customHeight="1" x14ac:dyDescent="0.1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row>
    <row r="849" spans="1:46" ht="14.25" customHeight="1" x14ac:dyDescent="0.1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row>
    <row r="850" spans="1:46" ht="14.25" customHeight="1" x14ac:dyDescent="0.1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row>
    <row r="851" spans="1:46" ht="14.25" customHeight="1" x14ac:dyDescent="0.1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row>
    <row r="852" spans="1:46" ht="14.25" customHeight="1" x14ac:dyDescent="0.1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row>
    <row r="853" spans="1:46" ht="14.25" customHeight="1" x14ac:dyDescent="0.1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row>
    <row r="854" spans="1:46" ht="14.25" customHeight="1" x14ac:dyDescent="0.1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row>
    <row r="855" spans="1:46" ht="14.25" customHeight="1" x14ac:dyDescent="0.1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row>
    <row r="856" spans="1:46" ht="14.25" customHeight="1" x14ac:dyDescent="0.1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row>
    <row r="857" spans="1:46" ht="14.25" customHeight="1" x14ac:dyDescent="0.1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row>
    <row r="858" spans="1:46" ht="14.25" customHeight="1" x14ac:dyDescent="0.1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row>
    <row r="859" spans="1:46" ht="14.25" customHeight="1" x14ac:dyDescent="0.1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row>
    <row r="860" spans="1:46" ht="14.25" customHeight="1" x14ac:dyDescent="0.1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row>
    <row r="861" spans="1:46" ht="14.25" customHeight="1" x14ac:dyDescent="0.1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row>
    <row r="862" spans="1:46" ht="14.25" customHeight="1" x14ac:dyDescent="0.1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row>
    <row r="863" spans="1:46" ht="14.25" customHeight="1" x14ac:dyDescent="0.1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row>
    <row r="864" spans="1:46" ht="14.25" customHeight="1" x14ac:dyDescent="0.1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row>
    <row r="865" spans="1:46" ht="14.25" customHeight="1" x14ac:dyDescent="0.1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row>
    <row r="866" spans="1:46" ht="14.25" customHeight="1" x14ac:dyDescent="0.1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row>
    <row r="867" spans="1:46" ht="14.25" customHeight="1" x14ac:dyDescent="0.1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row>
    <row r="868" spans="1:46" ht="14.25" customHeight="1" x14ac:dyDescent="0.1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row>
    <row r="869" spans="1:46" ht="14.25" customHeight="1" x14ac:dyDescent="0.1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row>
    <row r="870" spans="1:46" ht="14.25" customHeight="1" x14ac:dyDescent="0.1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row>
    <row r="871" spans="1:46" ht="14.25" customHeight="1" x14ac:dyDescent="0.1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row>
    <row r="872" spans="1:46" ht="14.25" customHeight="1" x14ac:dyDescent="0.1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row>
    <row r="873" spans="1:46" ht="14.25" customHeight="1" x14ac:dyDescent="0.1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row>
    <row r="874" spans="1:46" ht="14.25" customHeight="1" x14ac:dyDescent="0.1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row>
    <row r="875" spans="1:46" ht="14.25" customHeight="1" x14ac:dyDescent="0.1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row>
    <row r="876" spans="1:46" ht="14.25" customHeight="1" x14ac:dyDescent="0.1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row>
    <row r="877" spans="1:46" ht="14.25" customHeight="1" x14ac:dyDescent="0.1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row>
    <row r="878" spans="1:46" ht="14.25" customHeight="1" x14ac:dyDescent="0.1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row>
    <row r="879" spans="1:46" ht="14.25" customHeight="1" x14ac:dyDescent="0.1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row>
    <row r="880" spans="1:46" ht="14.25" customHeight="1" x14ac:dyDescent="0.1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row>
    <row r="881" spans="1:46" ht="14.25" customHeight="1" x14ac:dyDescent="0.1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row>
    <row r="882" spans="1:46" ht="14.25" customHeight="1" x14ac:dyDescent="0.1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row>
    <row r="883" spans="1:46" ht="14.25" customHeight="1" x14ac:dyDescent="0.1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row>
    <row r="884" spans="1:46" ht="14.25" customHeight="1" x14ac:dyDescent="0.1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row>
    <row r="885" spans="1:46" ht="14.25" customHeight="1" x14ac:dyDescent="0.1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row>
    <row r="886" spans="1:46" ht="14.25" customHeight="1" x14ac:dyDescent="0.1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row>
    <row r="887" spans="1:46" ht="14.25" customHeight="1" x14ac:dyDescent="0.1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row>
    <row r="888" spans="1:46" ht="14.25" customHeight="1" x14ac:dyDescent="0.1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row>
    <row r="889" spans="1:46" ht="14.25" customHeight="1" x14ac:dyDescent="0.1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row>
    <row r="890" spans="1:46" ht="14.25" customHeight="1" x14ac:dyDescent="0.1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row>
    <row r="891" spans="1:46" ht="14.25" customHeight="1" x14ac:dyDescent="0.1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row>
    <row r="892" spans="1:46" ht="14.25" customHeight="1" x14ac:dyDescent="0.1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row>
    <row r="893" spans="1:46" ht="14.25" customHeight="1" x14ac:dyDescent="0.1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row>
    <row r="894" spans="1:46" ht="14.25" customHeight="1" x14ac:dyDescent="0.1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row>
    <row r="895" spans="1:46" ht="14.25" customHeight="1" x14ac:dyDescent="0.1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row>
    <row r="896" spans="1:46" ht="14.25" customHeight="1" x14ac:dyDescent="0.1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row>
    <row r="897" spans="1:46" ht="14.25" customHeight="1" x14ac:dyDescent="0.1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row>
    <row r="898" spans="1:46" ht="14.25" customHeight="1" x14ac:dyDescent="0.1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row>
    <row r="899" spans="1:46" ht="14.25" customHeight="1" x14ac:dyDescent="0.1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row>
    <row r="900" spans="1:46" ht="14.25" customHeight="1" x14ac:dyDescent="0.1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row>
    <row r="901" spans="1:46" ht="14.25" customHeight="1" x14ac:dyDescent="0.1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row>
    <row r="902" spans="1:46" ht="14.25" customHeight="1" x14ac:dyDescent="0.1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row>
    <row r="903" spans="1:46" ht="14.25" customHeight="1" x14ac:dyDescent="0.1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row>
    <row r="904" spans="1:46" ht="14.25" customHeight="1" x14ac:dyDescent="0.1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row>
    <row r="905" spans="1:46" ht="14.25" customHeight="1" x14ac:dyDescent="0.1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row>
    <row r="906" spans="1:46" ht="14.25" customHeight="1" x14ac:dyDescent="0.1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row>
    <row r="907" spans="1:46" ht="14.25" customHeight="1" x14ac:dyDescent="0.1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row>
    <row r="908" spans="1:46" ht="14.25" customHeight="1" x14ac:dyDescent="0.1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row>
    <row r="909" spans="1:46" ht="14.25" customHeight="1" x14ac:dyDescent="0.1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row>
    <row r="910" spans="1:46" ht="14.25" customHeight="1" x14ac:dyDescent="0.1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row>
    <row r="911" spans="1:46" ht="14.25" customHeight="1" x14ac:dyDescent="0.1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row>
    <row r="912" spans="1:46" ht="14.25" customHeight="1" x14ac:dyDescent="0.1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row>
    <row r="913" spans="1:46" ht="14.25" customHeight="1" x14ac:dyDescent="0.1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row>
    <row r="914" spans="1:46" ht="14.25" customHeight="1" x14ac:dyDescent="0.1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row>
    <row r="915" spans="1:46" ht="14.25" customHeight="1" x14ac:dyDescent="0.1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row>
    <row r="916" spans="1:46" ht="14.25" customHeight="1" x14ac:dyDescent="0.1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row>
    <row r="917" spans="1:46" ht="14.25" customHeight="1" x14ac:dyDescent="0.1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row>
    <row r="918" spans="1:46" ht="14.25" customHeight="1" x14ac:dyDescent="0.1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row>
    <row r="919" spans="1:46" ht="14.25" customHeight="1" x14ac:dyDescent="0.1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row>
    <row r="920" spans="1:46" ht="14.25" customHeight="1" x14ac:dyDescent="0.1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row>
    <row r="921" spans="1:46" ht="14.25" customHeight="1" x14ac:dyDescent="0.1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row>
    <row r="922" spans="1:46" ht="14.25" customHeight="1" x14ac:dyDescent="0.1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row>
    <row r="923" spans="1:46" ht="14.25" customHeight="1" x14ac:dyDescent="0.1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row>
    <row r="924" spans="1:46" ht="14.25" customHeight="1" x14ac:dyDescent="0.1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row>
    <row r="925" spans="1:46" ht="14.25" customHeight="1" x14ac:dyDescent="0.1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row>
    <row r="926" spans="1:46" ht="14.25" customHeight="1" x14ac:dyDescent="0.1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row>
    <row r="927" spans="1:46" ht="14.25" customHeight="1" x14ac:dyDescent="0.1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row>
    <row r="928" spans="1:46" ht="14.25" customHeight="1" x14ac:dyDescent="0.1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row>
    <row r="929" spans="1:46" ht="14.25" customHeight="1" x14ac:dyDescent="0.1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row>
    <row r="930" spans="1:46" ht="14.25" customHeight="1" x14ac:dyDescent="0.1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row>
    <row r="931" spans="1:46" ht="14.25" customHeight="1" x14ac:dyDescent="0.1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row>
    <row r="932" spans="1:46" ht="14.25" customHeight="1" x14ac:dyDescent="0.1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row>
    <row r="933" spans="1:46" ht="14.25" customHeight="1" x14ac:dyDescent="0.1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row>
    <row r="934" spans="1:46" ht="14.25" customHeight="1" x14ac:dyDescent="0.1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row>
    <row r="935" spans="1:46" ht="14.25" customHeight="1" x14ac:dyDescent="0.1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row>
    <row r="936" spans="1:46" ht="14.25" customHeight="1" x14ac:dyDescent="0.1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row>
    <row r="937" spans="1:46" ht="14.25" customHeight="1" x14ac:dyDescent="0.1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row>
    <row r="938" spans="1:46" ht="14.25" customHeight="1" x14ac:dyDescent="0.1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row>
    <row r="939" spans="1:46" ht="14.25" customHeight="1" x14ac:dyDescent="0.1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row>
    <row r="940" spans="1:46" ht="14.25" customHeight="1" x14ac:dyDescent="0.1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row>
    <row r="941" spans="1:46" ht="14.25" customHeight="1" x14ac:dyDescent="0.1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row>
    <row r="942" spans="1:46" ht="14.25" customHeight="1" x14ac:dyDescent="0.1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row>
    <row r="943" spans="1:46" ht="14.25" customHeight="1" x14ac:dyDescent="0.1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row>
    <row r="944" spans="1:46" ht="14.25" customHeight="1" x14ac:dyDescent="0.1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row>
    <row r="945" spans="1:46" ht="14.25" customHeight="1" x14ac:dyDescent="0.1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row>
    <row r="946" spans="1:46" ht="14.25" customHeight="1" x14ac:dyDescent="0.1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row>
    <row r="947" spans="1:46" ht="14.25" customHeight="1" x14ac:dyDescent="0.1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row>
    <row r="948" spans="1:46" ht="14.25" customHeight="1" x14ac:dyDescent="0.1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row>
    <row r="949" spans="1:46" ht="14.25" customHeight="1" x14ac:dyDescent="0.1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row>
    <row r="950" spans="1:46" ht="14.25" customHeight="1" x14ac:dyDescent="0.1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row>
    <row r="951" spans="1:46" ht="14.25" customHeight="1" x14ac:dyDescent="0.1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row>
    <row r="952" spans="1:46" ht="14.25" customHeight="1" x14ac:dyDescent="0.1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row>
    <row r="953" spans="1:46" ht="14.25" customHeight="1" x14ac:dyDescent="0.1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row>
    <row r="954" spans="1:46" ht="14.25" customHeight="1" x14ac:dyDescent="0.1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row>
    <row r="955" spans="1:46" ht="14.25" customHeight="1" x14ac:dyDescent="0.1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row>
    <row r="956" spans="1:46" ht="14.25" customHeight="1" x14ac:dyDescent="0.1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row>
    <row r="957" spans="1:46" ht="14.25" customHeight="1" x14ac:dyDescent="0.1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row>
    <row r="958" spans="1:46" ht="14.25" customHeight="1" x14ac:dyDescent="0.1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row>
    <row r="959" spans="1:46" ht="14.25" customHeight="1" x14ac:dyDescent="0.1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row>
    <row r="960" spans="1:46" ht="14.25" customHeight="1" x14ac:dyDescent="0.1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row>
    <row r="961" spans="1:46" ht="14.25" customHeight="1" x14ac:dyDescent="0.1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row>
    <row r="962" spans="1:46" ht="14.25" customHeight="1" x14ac:dyDescent="0.1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row>
    <row r="963" spans="1:46" ht="14.25" customHeight="1" x14ac:dyDescent="0.1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row>
    <row r="964" spans="1:46" ht="14.25" customHeight="1" x14ac:dyDescent="0.1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row>
    <row r="965" spans="1:46" ht="14.25" customHeight="1" x14ac:dyDescent="0.1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row>
    <row r="966" spans="1:46" ht="14.25" customHeight="1" x14ac:dyDescent="0.1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row>
    <row r="967" spans="1:46" ht="14.25" customHeight="1" x14ac:dyDescent="0.1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row>
    <row r="968" spans="1:46" ht="14.25" customHeight="1" x14ac:dyDescent="0.1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row>
    <row r="969" spans="1:46" ht="14.25" customHeight="1" x14ac:dyDescent="0.1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row>
    <row r="970" spans="1:46" ht="14.25" customHeight="1" x14ac:dyDescent="0.1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row>
    <row r="971" spans="1:46" ht="14.25" customHeight="1" x14ac:dyDescent="0.1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row>
    <row r="972" spans="1:46" ht="14.25" customHeight="1" x14ac:dyDescent="0.1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row>
    <row r="973" spans="1:46" ht="14.25" customHeight="1" x14ac:dyDescent="0.1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row>
    <row r="974" spans="1:46" ht="14.25" customHeight="1" x14ac:dyDescent="0.1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row>
    <row r="975" spans="1:46" ht="14.25" customHeight="1" x14ac:dyDescent="0.1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row>
    <row r="976" spans="1:46" ht="14.25" customHeight="1" x14ac:dyDescent="0.1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row>
    <row r="977" spans="1:46" ht="14.25" customHeight="1" x14ac:dyDescent="0.1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row>
    <row r="978" spans="1:46" ht="14.25" customHeight="1" x14ac:dyDescent="0.1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row>
    <row r="979" spans="1:46" ht="14.25" customHeight="1" x14ac:dyDescent="0.1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row>
    <row r="980" spans="1:46" ht="14.25" customHeight="1" x14ac:dyDescent="0.1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row>
    <row r="981" spans="1:46" ht="14.25" customHeight="1" x14ac:dyDescent="0.1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row>
    <row r="982" spans="1:46" ht="14.25" customHeight="1" x14ac:dyDescent="0.1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row>
    <row r="983" spans="1:46" ht="14.25" customHeight="1" x14ac:dyDescent="0.1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row>
    <row r="984" spans="1:46" ht="14.25" customHeight="1" x14ac:dyDescent="0.1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row>
    <row r="985" spans="1:46" ht="14.25" customHeight="1" x14ac:dyDescent="0.1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row>
    <row r="986" spans="1:46" ht="14.25" customHeight="1" x14ac:dyDescent="0.1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row>
    <row r="987" spans="1:46" ht="14.25" customHeight="1" x14ac:dyDescent="0.15">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row>
    <row r="988" spans="1:46" ht="14.25" customHeight="1" x14ac:dyDescent="0.15">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row>
    <row r="989" spans="1:46" ht="14.25" customHeight="1" x14ac:dyDescent="0.15">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row>
    <row r="990" spans="1:46" ht="14.25" customHeight="1" x14ac:dyDescent="0.15">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row>
    <row r="991" spans="1:46" ht="14.25" customHeight="1" x14ac:dyDescent="0.15">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row>
    <row r="992" spans="1:46" ht="14.25" customHeight="1" x14ac:dyDescent="0.15">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row>
    <row r="993" spans="1:46" ht="14.25" customHeight="1" x14ac:dyDescent="0.15">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row>
    <row r="994" spans="1:46" ht="14.25" customHeight="1" x14ac:dyDescent="0.15">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row>
    <row r="995" spans="1:46" ht="14.25" customHeight="1" x14ac:dyDescent="0.15">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row>
    <row r="996" spans="1:46" ht="14.25" customHeight="1" x14ac:dyDescent="0.15">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row>
    <row r="997" spans="1:46" ht="14.25" customHeight="1" x14ac:dyDescent="0.15">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row>
    <row r="998" spans="1:46" ht="14.25" customHeight="1" x14ac:dyDescent="0.15">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row>
  </sheetData>
  <mergeCells count="1">
    <mergeCell ref="B1:I1"/>
  </mergeCells>
  <conditionalFormatting sqref="C3:AH14">
    <cfRule type="expression" dxfId="308" priority="1">
      <formula>C17&lt;&gt;""</formula>
    </cfRule>
  </conditionalFormatting>
  <pageMargins left="0.7" right="0.7" top="0.75" bottom="0.75" header="0" footer="0"/>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CE10-0B13-4F61-92CE-169D73BA5A80}">
  <sheetPr>
    <tabColor rgb="FF004077"/>
  </sheetPr>
  <dimension ref="A1:AT998"/>
  <sheetViews>
    <sheetView showGridLines="0" zoomScale="90" zoomScaleNormal="90" workbookViewId="0">
      <pane xSplit="1" topLeftCell="B1" activePane="topRight" state="frozen"/>
      <selection activeCell="O24" sqref="O24"/>
      <selection pane="topRight" activeCell="B2" sqref="B2"/>
    </sheetView>
  </sheetViews>
  <sheetFormatPr baseColWidth="10" defaultColWidth="12.5" defaultRowHeight="15" customHeight="1" x14ac:dyDescent="0.15"/>
  <cols>
    <col min="1" max="1" width="56.5" style="8" customWidth="1"/>
    <col min="2" max="2" width="17" style="8" customWidth="1"/>
    <col min="3" max="4" width="12" style="8" customWidth="1"/>
    <col min="5" max="7" width="14.5" style="8" customWidth="1"/>
    <col min="8" max="8" width="14.33203125" style="8" customWidth="1"/>
    <col min="9" max="16" width="12" style="8" customWidth="1"/>
    <col min="17" max="19" width="14" style="8" customWidth="1"/>
    <col min="20" max="20" width="13.1640625" style="8" customWidth="1"/>
    <col min="21" max="21" width="12" style="8" customWidth="1"/>
    <col min="22" max="22" width="13.83203125" style="8" customWidth="1"/>
    <col min="23" max="25" width="13.5" style="8" customWidth="1"/>
    <col min="26" max="26" width="16" style="8" customWidth="1"/>
    <col min="27" max="27" width="14.33203125" style="8" customWidth="1"/>
    <col min="28" max="28" width="15.83203125" style="8" customWidth="1"/>
    <col min="29" max="29" width="12.1640625" style="8" customWidth="1"/>
    <col min="30" max="46" width="12" style="8" customWidth="1"/>
    <col min="47" max="16384" width="12.5" style="8"/>
  </cols>
  <sheetData>
    <row r="1" spans="1:46" ht="113" customHeight="1" thickBot="1" x14ac:dyDescent="0.2">
      <c r="A1" s="129" t="s">
        <v>71</v>
      </c>
      <c r="C1" s="196"/>
      <c r="D1" s="196"/>
      <c r="E1" s="196"/>
      <c r="F1" s="196"/>
      <c r="G1" s="196"/>
      <c r="H1" s="196"/>
      <c r="I1" s="196"/>
    </row>
    <row r="2" spans="1:46" s="14" customFormat="1" ht="100" customHeight="1" thickBot="1" x14ac:dyDescent="0.2">
      <c r="A2" s="179" t="s">
        <v>97</v>
      </c>
      <c r="B2" s="49" t="s">
        <v>95</v>
      </c>
      <c r="C2" s="10" t="s">
        <v>13</v>
      </c>
      <c r="D2" s="10" t="s">
        <v>14</v>
      </c>
      <c r="E2" s="11" t="s">
        <v>15</v>
      </c>
      <c r="F2" s="11" t="s">
        <v>19</v>
      </c>
      <c r="G2" s="11" t="s">
        <v>20</v>
      </c>
      <c r="H2" s="10" t="s">
        <v>51</v>
      </c>
      <c r="I2" s="10" t="s">
        <v>52</v>
      </c>
      <c r="J2" s="10" t="s">
        <v>53</v>
      </c>
      <c r="K2" s="11" t="s">
        <v>54</v>
      </c>
      <c r="L2" s="11" t="s">
        <v>55</v>
      </c>
      <c r="M2" s="11" t="s">
        <v>56</v>
      </c>
      <c r="N2" s="10" t="s">
        <v>16</v>
      </c>
      <c r="O2" s="10" t="s">
        <v>21</v>
      </c>
      <c r="P2" s="10" t="s">
        <v>22</v>
      </c>
      <c r="Q2" s="11" t="s">
        <v>60</v>
      </c>
      <c r="R2" s="11" t="s">
        <v>61</v>
      </c>
      <c r="S2" s="11" t="s">
        <v>62</v>
      </c>
      <c r="T2" s="10" t="s">
        <v>57</v>
      </c>
      <c r="U2" s="10" t="s">
        <v>58</v>
      </c>
      <c r="V2" s="10" t="s">
        <v>59</v>
      </c>
      <c r="W2" s="11" t="s">
        <v>66</v>
      </c>
      <c r="X2" s="11" t="s">
        <v>67</v>
      </c>
      <c r="Y2" s="11" t="s">
        <v>68</v>
      </c>
      <c r="Z2" s="10" t="s">
        <v>17</v>
      </c>
      <c r="AA2" s="10" t="s">
        <v>23</v>
      </c>
      <c r="AB2" s="10" t="s">
        <v>24</v>
      </c>
      <c r="AC2" s="11" t="s">
        <v>63</v>
      </c>
      <c r="AD2" s="11" t="s">
        <v>64</v>
      </c>
      <c r="AE2" s="11" t="s">
        <v>65</v>
      </c>
      <c r="AF2" s="10" t="s">
        <v>18</v>
      </c>
      <c r="AG2" s="10" t="s">
        <v>25</v>
      </c>
      <c r="AH2" s="12" t="s">
        <v>26</v>
      </c>
      <c r="AI2" s="13"/>
      <c r="AJ2" s="13"/>
      <c r="AK2" s="13"/>
      <c r="AL2" s="13"/>
      <c r="AM2" s="13"/>
      <c r="AN2" s="13"/>
      <c r="AO2" s="13"/>
      <c r="AP2" s="13"/>
      <c r="AQ2" s="13"/>
      <c r="AR2" s="13"/>
      <c r="AS2" s="13"/>
      <c r="AT2" s="13"/>
    </row>
    <row r="3" spans="1:46" ht="18" customHeight="1" x14ac:dyDescent="0.2">
      <c r="A3" s="15" t="str">
        <f>Count_Tbl[[#This Row],[Column1]]</f>
        <v>Total Population for Each Learner Group</v>
      </c>
      <c r="B3" s="50" t="str">
        <f>IFERROR(Tot_Student_Pop/Tot_Student_Pop," ")</f>
        <v xml:space="preserve"> </v>
      </c>
      <c r="C3" s="50" t="str">
        <f>IFERROR(Tot_Male/Tot_Student_Pop," ")</f>
        <v xml:space="preserve"> </v>
      </c>
      <c r="D3" s="50" t="str">
        <f>IFERROR(Tot_Female/Tot_Student_Pop," ")</f>
        <v xml:space="preserve"> </v>
      </c>
      <c r="E3" s="50" t="str">
        <f>IFERROR(Tot_API/Tot_Student_Pop," ")</f>
        <v xml:space="preserve"> </v>
      </c>
      <c r="F3" s="50" t="str">
        <f>IFERROR(Tot_API_Male/Tot_Student_Pop," ")</f>
        <v xml:space="preserve"> </v>
      </c>
      <c r="G3" s="50" t="str">
        <f>IFERROR(Tot_API_Female/Tot_Student_Pop," ")</f>
        <v xml:space="preserve"> </v>
      </c>
      <c r="H3" s="50" t="str">
        <f>IFERROR(Tot_BNL/Tot_Student_Pop," ")</f>
        <v xml:space="preserve"> </v>
      </c>
      <c r="I3" s="50" t="str">
        <f>IFERROR(Tot_BNL_Male/Tot_Student_Pop," ")</f>
        <v xml:space="preserve"> </v>
      </c>
      <c r="J3" s="50" t="str">
        <f>IFERROR(Tot_BNL_Female/Tot_Student_Pop," ")</f>
        <v xml:space="preserve"> </v>
      </c>
      <c r="K3" s="50" t="str" cm="1">
        <f t="array" ref="K3">IFERROR(Tot_Latinx/Tot_Student_Pop," ")</f>
        <v xml:space="preserve"> </v>
      </c>
      <c r="L3" s="50" t="str" cm="1">
        <f t="array" ref="L3">IFERROR(Tot_Latinx_Male/Tot_Student_Pop," ")</f>
        <v xml:space="preserve"> </v>
      </c>
      <c r="M3" s="50" t="str" cm="1">
        <f t="array" ref="M3">IFERROR(Tot_Latinx_Female/Tot_Student_Pop," ")</f>
        <v xml:space="preserve"> </v>
      </c>
      <c r="N3" s="50" t="str">
        <f>IFERROR(Tot_Multiracial/Tot_Student_Pop," ")</f>
        <v xml:space="preserve"> </v>
      </c>
      <c r="O3" s="50" t="str">
        <f>IFERROR(Tot_Multiracial_Male/Tot_Student_Pop," ")</f>
        <v xml:space="preserve"> </v>
      </c>
      <c r="P3" s="50" t="str">
        <f>IFERROR(Tot_Multiracial_Female/Tot_Student_Pop," ")</f>
        <v xml:space="preserve"> </v>
      </c>
      <c r="Q3" s="50" t="str">
        <f>IFERROR(Tot_AIorAN/Tot_Student_Pop," ")</f>
        <v xml:space="preserve"> </v>
      </c>
      <c r="R3" s="50" t="str">
        <f>IFERROR(Tot_AIorAN_Male/Tot_Student_Pop," ")</f>
        <v xml:space="preserve"> </v>
      </c>
      <c r="S3" s="50" t="str">
        <f>IFERROR(Tot_AIorAN_Female/Tot_Student_Pop," ")</f>
        <v xml:space="preserve"> </v>
      </c>
      <c r="T3" s="50" t="str" cm="1">
        <f t="array" ref="T3">IFERROR(Tot_WN_Latinx/Tot_Student_Pop," ")</f>
        <v xml:space="preserve"> </v>
      </c>
      <c r="U3" s="50" t="str" cm="1">
        <f t="array" ref="U3">IFERROR(Tot_WN_Latinx_Male/Tot_Student_Pop," ")</f>
        <v xml:space="preserve"> </v>
      </c>
      <c r="V3" s="50" t="str" cm="1">
        <f t="array" ref="V3">IFERROR(Tot_WN_Latinx_Female/Tot_Student_Pop," ")</f>
        <v xml:space="preserve"> </v>
      </c>
      <c r="W3" s="50" t="str">
        <f>IFERROR(Tot_Disab/Tot_Student_Pop," ")</f>
        <v xml:space="preserve"> </v>
      </c>
      <c r="X3" s="50" t="str">
        <f>IFERROR(Tot_Disab_Male/Tot_Student_Pop," ")</f>
        <v xml:space="preserve"> </v>
      </c>
      <c r="Y3" s="50" t="str">
        <f>IFERROR(Tot_Disab_Female/Tot_Student_Pop," ")</f>
        <v xml:space="preserve"> </v>
      </c>
      <c r="Z3" s="50" t="str">
        <f>IFERROR(Tot_Econ_Disadv/Tot_Student_Pop," ")</f>
        <v xml:space="preserve"> </v>
      </c>
      <c r="AA3" s="50" t="str">
        <f>IFERROR(Tot_Econ_Disadv_Male/Tot_Student_Pop," ")</f>
        <v xml:space="preserve"> </v>
      </c>
      <c r="AB3" s="50" t="str">
        <f>IFERROR(Tot_Econ_Disadv_Female/Tot_Student_Pop," ")</f>
        <v xml:space="preserve"> </v>
      </c>
      <c r="AC3" s="50" t="str">
        <f>IFERROR(Tot_Eng_Lang/Tot_Student_Pop," ")</f>
        <v xml:space="preserve"> </v>
      </c>
      <c r="AD3" s="50" t="str">
        <f>IFERROR(Tot_Eng_Lang_Male/Tot_Student_Pop," ")</f>
        <v xml:space="preserve"> </v>
      </c>
      <c r="AE3" s="50" t="str">
        <f>IFERROR(Tot_Eng_Lang_Female/Tot_Student_Pop," ")</f>
        <v xml:space="preserve"> </v>
      </c>
      <c r="AF3" s="50" t="str">
        <f>IFERROR(Tot_Migrant/Tot_Student_Pop," ")</f>
        <v xml:space="preserve"> </v>
      </c>
      <c r="AG3" s="50" t="str">
        <f>IFERROR(Tot_Migrant_Male/Tot_Student_Pop," ")</f>
        <v xml:space="preserve"> </v>
      </c>
      <c r="AH3" s="51" t="str">
        <f>IFERROR(Tot_Migrant_Female/Tot_Student_Pop," ")</f>
        <v xml:space="preserve"> </v>
      </c>
      <c r="AI3" s="27"/>
      <c r="AJ3" s="27"/>
      <c r="AK3" s="27"/>
      <c r="AL3" s="27"/>
      <c r="AM3" s="27"/>
      <c r="AN3" s="27"/>
      <c r="AO3" s="27"/>
      <c r="AP3" s="27"/>
      <c r="AQ3" s="27"/>
      <c r="AR3" s="27"/>
      <c r="AS3" s="27"/>
      <c r="AT3" s="27"/>
    </row>
    <row r="4" spans="1:46" ht="18" customHeight="1" x14ac:dyDescent="0.2">
      <c r="A4" s="48" t="str">
        <f>Count_Tbl[[#This Row],[Column1]]</f>
        <v>CTE Participation</v>
      </c>
      <c r="B4" s="173" t="str">
        <f>IFERROR(Count_Tbl[[#This Row],[Total Population for Each Indicator]]/Tot_Student_Pop," ")</f>
        <v xml:space="preserve"> </v>
      </c>
      <c r="C4" s="52" t="str">
        <f>IFERROR(Count_Tbl[[#This Row],[Male]]/Tot_Male," ")</f>
        <v xml:space="preserve"> </v>
      </c>
      <c r="D4" s="52" t="str">
        <f>IFERROR(Count_Tbl[[#This Row],[Female]]/Tot_Female," ")</f>
        <v xml:space="preserve"> </v>
      </c>
      <c r="E4" s="170" t="str">
        <f>IFERROR(Count_Tbl[[#This Row],[Asian or Pacific Islander]]/Tot_API," ")</f>
        <v xml:space="preserve"> </v>
      </c>
      <c r="F4" s="170" t="str">
        <f>IFERROR(Count_Tbl[[#This Row],[Asian or Pacific Islander Male]]/Tot_API_Male," ")</f>
        <v xml:space="preserve"> </v>
      </c>
      <c r="G4" s="170" t="str">
        <f>IFERROR(Count_Tbl[[#This Row],[Asian or Pacific Islander Female]]/Tot_API_Female," ")</f>
        <v xml:space="preserve"> </v>
      </c>
      <c r="H4" s="52" t="str">
        <f>IFERROR(Count_Tbl[[#This Row],[Black Non-Latinx]]/Tot_BNL," ")</f>
        <v xml:space="preserve"> </v>
      </c>
      <c r="I4" s="52" t="str">
        <f>IFERROR(Count_Tbl[[#This Row],[Black Non-Latinx Male]]/Tot_BNL_Male," ")</f>
        <v xml:space="preserve"> </v>
      </c>
      <c r="J4" s="52" t="str">
        <f>IFERROR(Count_Tbl[[#This Row],[Black Non-Latinx Female]]/Tot_BNL_Female," ")</f>
        <v xml:space="preserve"> </v>
      </c>
      <c r="K4" s="170" t="str" cm="1">
        <f t="array" ref="K4">IFERROR(Count_Tbl[[#This Row],[Latinx]]/Tot_Latinx," ")</f>
        <v xml:space="preserve"> </v>
      </c>
      <c r="L4" s="170" t="str" cm="1">
        <f t="array" ref="L4">IFERROR(Count_Tbl[[#This Row],[Latinx Male]]/Tot_Latinx_Male," ")</f>
        <v xml:space="preserve"> </v>
      </c>
      <c r="M4" s="170" t="str" cm="1">
        <f t="array" ref="M4">IFERROR(Count_Tbl[[#This Row],[Latinx Female]]/Tot_Latinx_Female," ")</f>
        <v xml:space="preserve"> </v>
      </c>
      <c r="N4" s="52" t="str">
        <f>IFERROR(Count_Tbl[[#This Row],[Multiracial]]/Tot_Multiracial," ")</f>
        <v xml:space="preserve"> </v>
      </c>
      <c r="O4" s="52" t="str">
        <f>IFERROR(Count_Tbl[[#This Row],[Multiracial Male]]/Tot_Multiracial_Male," ")</f>
        <v xml:space="preserve"> </v>
      </c>
      <c r="P4" s="52" t="str">
        <f>IFERROR(Count_Tbl[[#This Row],[Multiracial Female]]/Tot_Multiracial_Female," ")</f>
        <v xml:space="preserve"> </v>
      </c>
      <c r="Q4" s="170" t="str">
        <f>IFERROR(Count_Tbl[[#This Row],[Native American or Alaska Native]]/Tot_AIorAN," ")</f>
        <v xml:space="preserve"> </v>
      </c>
      <c r="R4" s="170" t="str">
        <f>IFERROR(Count_Tbl[[#This Row],[Native American or Alaska Native Male]]/Tot_AIorAN_Male," ")</f>
        <v xml:space="preserve"> </v>
      </c>
      <c r="S4" s="170" t="str">
        <f>IFERROR(Count_Tbl[[#This Row],[Native American or Alaska Native Female]]/Tot_AIorAN_Female," ")</f>
        <v xml:space="preserve"> </v>
      </c>
      <c r="T4" s="52" t="str" cm="1">
        <f t="array" ref="T4">IFERROR(Count_Tbl[[#This Row],[White Non-Latinx]]/Tot_WN_Latinx, " ")</f>
        <v xml:space="preserve"> </v>
      </c>
      <c r="U4" s="52" t="str" cm="1">
        <f t="array" ref="U4">IFERROR(Count_Tbl[[#This Row],[White Non-Latinx Male]]/Tot_WN_Latinx_Male, " ")</f>
        <v xml:space="preserve"> </v>
      </c>
      <c r="V4" s="52" t="str" cm="1">
        <f t="array" ref="V4">IFERROR(Count_Tbl[[#This Row],[White Non-Latinx Female]]/Tot_WN_Latinx_Female, " ")</f>
        <v xml:space="preserve"> </v>
      </c>
      <c r="W4" s="170" t="str">
        <f>IFERROR(Count_Tbl[[#This Row],[Learners with Disabilities]]/Tot_Disab," ")</f>
        <v xml:space="preserve"> </v>
      </c>
      <c r="X4" s="170" t="str">
        <f>IFERROR(Count_Tbl[[#This Row],[Learners with Disabilities Male]]/Tot_Disab_Male," ")</f>
        <v xml:space="preserve"> </v>
      </c>
      <c r="Y4" s="170" t="str">
        <f>IFERROR(Count_Tbl[[#This Row],[Learners with Disabilities Female]]/Tot_Disab_Female," ")</f>
        <v xml:space="preserve"> </v>
      </c>
      <c r="Z4" s="52" t="str">
        <f>IFERROR(Count_Tbl[[#This Row],[Economically Disadvantaged]]/Tot_Econ_Disadv," ")</f>
        <v xml:space="preserve"> </v>
      </c>
      <c r="AA4" s="52" t="str">
        <f>IFERROR(Count_Tbl[[#This Row],[Economically Disadvantaged Male]]/Tot_Econ_Disadv_Male," ")</f>
        <v xml:space="preserve"> </v>
      </c>
      <c r="AB4" s="52" t="str">
        <f>IFERROR(Count_Tbl[[#This Row],[Economically Disadvantaged Female]]/Tot_Econ_Disadv_Female," ")</f>
        <v xml:space="preserve"> </v>
      </c>
      <c r="AC4" s="170" t="str">
        <f>IFERROR(Count_Tbl[[#This Row],[English Learner]]/Tot_Eng_Lang," ")</f>
        <v xml:space="preserve"> </v>
      </c>
      <c r="AD4" s="170" t="str">
        <f>IFERROR(Count_Tbl[[#This Row],[English Learner Male]]/Tot_Eng_Lang_Male," ")</f>
        <v xml:space="preserve"> </v>
      </c>
      <c r="AE4" s="170" t="str">
        <f>IFERROR(Count_Tbl[[#This Row],[English Learner Female]]/Tot_Eng_Lang_Female," ")</f>
        <v xml:space="preserve"> </v>
      </c>
      <c r="AF4" s="52" t="str">
        <f>IFERROR(Count_Tbl[[#This Row],[Migrant]]/Tot_Migrant," ")</f>
        <v xml:space="preserve"> </v>
      </c>
      <c r="AG4" s="52" t="str">
        <f>IFERROR(Count_Tbl[[#This Row],[Migrant Male]]/Tot_Migrant_Male," ")</f>
        <v xml:space="preserve"> </v>
      </c>
      <c r="AH4" s="53" t="str">
        <f>IFERROR(Count_Tbl[[#This Row],[Migrant Female]]/Tot_Migrant_Female," ")</f>
        <v xml:space="preserve"> </v>
      </c>
      <c r="AI4" s="27"/>
      <c r="AJ4" s="27"/>
      <c r="AK4" s="27"/>
      <c r="AL4" s="27"/>
      <c r="AM4" s="27"/>
      <c r="AN4" s="27"/>
      <c r="AO4" s="27"/>
      <c r="AP4" s="27"/>
      <c r="AQ4" s="27"/>
      <c r="AR4" s="27"/>
      <c r="AS4" s="27"/>
      <c r="AT4" s="27"/>
    </row>
    <row r="5" spans="1:46" ht="18" customHeight="1" x14ac:dyDescent="0.2">
      <c r="A5" s="48" t="str">
        <f>Count_Tbl[[#This Row],[Column1]]</f>
        <v>HWHD CTE Participation</v>
      </c>
      <c r="B5" s="173" t="str">
        <f>IFERROR(Count_Tbl[[#This Row],[Total Population for Each Indicator]]/Tot_Student_Pop," ")</f>
        <v xml:space="preserve"> </v>
      </c>
      <c r="C5" s="52" t="str">
        <f>IFERROR(Count_Tbl[[#This Row],[Male]]/Tot_Male," ")</f>
        <v xml:space="preserve"> </v>
      </c>
      <c r="D5" s="52" t="str">
        <f>IFERROR(Count_Tbl[[#This Row],[Female]]/Tot_Female," ")</f>
        <v xml:space="preserve"> </v>
      </c>
      <c r="E5" s="170" t="str">
        <f>IFERROR(Count_Tbl[[#This Row],[Asian or Pacific Islander]]/Tot_API," ")</f>
        <v xml:space="preserve"> </v>
      </c>
      <c r="F5" s="170" t="str">
        <f>IFERROR(Count_Tbl[[#This Row],[Asian or Pacific Islander Male]]/Tot_API_Male," ")</f>
        <v xml:space="preserve"> </v>
      </c>
      <c r="G5" s="170" t="str">
        <f>IFERROR(Count_Tbl[[#This Row],[Asian or Pacific Islander Female]]/Tot_API_Female," ")</f>
        <v xml:space="preserve"> </v>
      </c>
      <c r="H5" s="52" t="str">
        <f>IFERROR(Count_Tbl[[#This Row],[Black Non-Latinx]]/Tot_BNL," ")</f>
        <v xml:space="preserve"> </v>
      </c>
      <c r="I5" s="52" t="str">
        <f>IFERROR(Count_Tbl[[#This Row],[Black Non-Latinx Male]]/Tot_BNL_Male," ")</f>
        <v xml:space="preserve"> </v>
      </c>
      <c r="J5" s="52" t="str">
        <f>IFERROR(Count_Tbl[[#This Row],[Black Non-Latinx Female]]/Tot_BNL_Female," ")</f>
        <v xml:space="preserve"> </v>
      </c>
      <c r="K5" s="170" t="str" cm="1">
        <f t="array" ref="K5">IFERROR(Count_Tbl[[#This Row],[Latinx]]/Tot_Latinx," ")</f>
        <v xml:space="preserve"> </v>
      </c>
      <c r="L5" s="170" t="str" cm="1">
        <f t="array" ref="L5">IFERROR(Count_Tbl[[#This Row],[Latinx Male]]/Tot_Latinx_Male," ")</f>
        <v xml:space="preserve"> </v>
      </c>
      <c r="M5" s="170" t="str" cm="1">
        <f t="array" ref="M5">IFERROR(Count_Tbl[[#This Row],[Latinx Female]]/Tot_Latinx_Female," ")</f>
        <v xml:space="preserve"> </v>
      </c>
      <c r="N5" s="52" t="str">
        <f>IFERROR(Count_Tbl[[#This Row],[Multiracial]]/Tot_Multiracial," ")</f>
        <v xml:space="preserve"> </v>
      </c>
      <c r="O5" s="52" t="str">
        <f>IFERROR(Count_Tbl[[#This Row],[Multiracial Male]]/Tot_Multiracial_Male," ")</f>
        <v xml:space="preserve"> </v>
      </c>
      <c r="P5" s="52" t="str">
        <f>IFERROR(Count_Tbl[[#This Row],[Multiracial Female]]/Tot_Multiracial_Female," ")</f>
        <v xml:space="preserve"> </v>
      </c>
      <c r="Q5" s="170" t="str">
        <f>IFERROR(Count_Tbl[[#This Row],[Native American or Alaska Native]]/Tot_AIorAN," ")</f>
        <v xml:space="preserve"> </v>
      </c>
      <c r="R5" s="170" t="str">
        <f>IFERROR(Count_Tbl[[#This Row],[Native American or Alaska Native Male]]/Tot_AIorAN_Male," ")</f>
        <v xml:space="preserve"> </v>
      </c>
      <c r="S5" s="170" t="str">
        <f>IFERROR(Count_Tbl[[#This Row],[Native American or Alaska Native Female]]/Tot_AIorAN_Female," ")</f>
        <v xml:space="preserve"> </v>
      </c>
      <c r="T5" s="52" t="str" cm="1">
        <f t="array" ref="T5">IFERROR(Count_Tbl[[#This Row],[White Non-Latinx]]/Tot_WN_Latinx, " ")</f>
        <v xml:space="preserve"> </v>
      </c>
      <c r="U5" s="52" t="str" cm="1">
        <f t="array" ref="U5">IFERROR(Count_Tbl[[#This Row],[White Non-Latinx Male]]/Tot_WN_Latinx_Male, " ")</f>
        <v xml:space="preserve"> </v>
      </c>
      <c r="V5" s="52" t="str" cm="1">
        <f t="array" ref="V5">IFERROR(Count_Tbl[[#This Row],[White Non-Latinx Female]]/Tot_WN_Latinx_Female, " ")</f>
        <v xml:space="preserve"> </v>
      </c>
      <c r="W5" s="170" t="str">
        <f>IFERROR(Count_Tbl[[#This Row],[Learners with Disabilities]]/Tot_Disab," ")</f>
        <v xml:space="preserve"> </v>
      </c>
      <c r="X5" s="170" t="str">
        <f>IFERROR(Count_Tbl[[#This Row],[Learners with Disabilities Male]]/Tot_Disab_Male," ")</f>
        <v xml:space="preserve"> </v>
      </c>
      <c r="Y5" s="170" t="str">
        <f>IFERROR(Count_Tbl[[#This Row],[Learners with Disabilities Female]]/Tot_Disab_Female," ")</f>
        <v xml:space="preserve"> </v>
      </c>
      <c r="Z5" s="52" t="str">
        <f>IFERROR(Count_Tbl[[#This Row],[Economically Disadvantaged]]/Tot_Econ_Disadv," ")</f>
        <v xml:space="preserve"> </v>
      </c>
      <c r="AA5" s="52" t="str">
        <f>IFERROR(Count_Tbl[[#This Row],[Economically Disadvantaged Male]]/Tot_Econ_Disadv_Male," ")</f>
        <v xml:space="preserve"> </v>
      </c>
      <c r="AB5" s="52" t="str">
        <f>IFERROR(Count_Tbl[[#This Row],[Economically Disadvantaged Female]]/Tot_Econ_Disadv_Female," ")</f>
        <v xml:space="preserve"> </v>
      </c>
      <c r="AC5" s="170" t="str">
        <f>IFERROR(Count_Tbl[[#This Row],[English Learner]]/Tot_Eng_Lang," ")</f>
        <v xml:space="preserve"> </v>
      </c>
      <c r="AD5" s="170" t="str">
        <f>IFERROR(Count_Tbl[[#This Row],[English Learner Male]]/Tot_Eng_Lang_Male," ")</f>
        <v xml:space="preserve"> </v>
      </c>
      <c r="AE5" s="170" t="str">
        <f>IFERROR(Count_Tbl[[#This Row],[English Learner Female]]/Tot_Eng_Lang_Female," ")</f>
        <v xml:space="preserve"> </v>
      </c>
      <c r="AF5" s="52" t="str">
        <f>IFERROR(Count_Tbl[[#This Row],[Migrant]]/Tot_Migrant," ")</f>
        <v xml:space="preserve"> </v>
      </c>
      <c r="AG5" s="52" t="str">
        <f>IFERROR(Count_Tbl[[#This Row],[Migrant Male]]/Tot_Migrant_Male," ")</f>
        <v xml:space="preserve"> </v>
      </c>
      <c r="AH5" s="53" t="str">
        <f>IFERROR(Count_Tbl[[#This Row],[Migrant Female]]/Tot_Migrant_Female," ")</f>
        <v xml:space="preserve"> </v>
      </c>
      <c r="AI5" s="27"/>
      <c r="AJ5" s="27"/>
      <c r="AK5" s="27"/>
      <c r="AL5" s="27"/>
      <c r="AM5" s="27"/>
      <c r="AN5" s="27"/>
      <c r="AO5" s="27"/>
      <c r="AP5" s="27"/>
      <c r="AQ5" s="27"/>
      <c r="AR5" s="27"/>
      <c r="AS5" s="27"/>
      <c r="AT5" s="27"/>
    </row>
    <row r="6" spans="1:46" ht="18" customHeight="1" x14ac:dyDescent="0.2">
      <c r="A6" s="48" t="str">
        <f>Count_Tbl[[#This Row],[Column1]]</f>
        <v>CTE Concentration</v>
      </c>
      <c r="B6" s="173" t="str">
        <f>IFERROR(Count_Tbl[[#This Row],[Total Population for Each Indicator]]/Tot_Student_Pop," ")</f>
        <v xml:space="preserve"> </v>
      </c>
      <c r="C6" s="52" t="str">
        <f>IFERROR(Count_Tbl[[#This Row],[Male]]/Tot_Male," ")</f>
        <v xml:space="preserve"> </v>
      </c>
      <c r="D6" s="52" t="str">
        <f>IFERROR(Count_Tbl[[#This Row],[Female]]/Tot_Female," ")</f>
        <v xml:space="preserve"> </v>
      </c>
      <c r="E6" s="170" t="str">
        <f>IFERROR(Count_Tbl[[#This Row],[Asian or Pacific Islander]]/Tot_API," ")</f>
        <v xml:space="preserve"> </v>
      </c>
      <c r="F6" s="170" t="str">
        <f>IFERROR(Count_Tbl[[#This Row],[Asian or Pacific Islander Male]]/Tot_API_Male," ")</f>
        <v xml:space="preserve"> </v>
      </c>
      <c r="G6" s="170" t="str">
        <f>IFERROR(Count_Tbl[[#This Row],[Asian or Pacific Islander Female]]/Tot_API_Female," ")</f>
        <v xml:space="preserve"> </v>
      </c>
      <c r="H6" s="52" t="str">
        <f>IFERROR(Count_Tbl[[#This Row],[Black Non-Latinx]]/Tot_BNL," ")</f>
        <v xml:space="preserve"> </v>
      </c>
      <c r="I6" s="52" t="str">
        <f>IFERROR(Count_Tbl[[#This Row],[Black Non-Latinx Male]]/Tot_BNL_Male," ")</f>
        <v xml:space="preserve"> </v>
      </c>
      <c r="J6" s="52" t="str">
        <f>IFERROR(Count_Tbl[[#This Row],[Black Non-Latinx Female]]/Tot_BNL_Female," ")</f>
        <v xml:space="preserve"> </v>
      </c>
      <c r="K6" s="170" t="str" cm="1">
        <f t="array" ref="K6">IFERROR(Count_Tbl[[#This Row],[Latinx]]/Tot_Latinx," ")</f>
        <v xml:space="preserve"> </v>
      </c>
      <c r="L6" s="170" t="str" cm="1">
        <f t="array" ref="L6">IFERROR(Count_Tbl[[#This Row],[Latinx Male]]/Tot_Latinx_Male," ")</f>
        <v xml:space="preserve"> </v>
      </c>
      <c r="M6" s="170" t="str" cm="1">
        <f t="array" ref="M6">IFERROR(Count_Tbl[[#This Row],[Latinx Female]]/Tot_Latinx_Female," ")</f>
        <v xml:space="preserve"> </v>
      </c>
      <c r="N6" s="52" t="str">
        <f>IFERROR(Count_Tbl[[#This Row],[Multiracial]]/Tot_Multiracial," ")</f>
        <v xml:space="preserve"> </v>
      </c>
      <c r="O6" s="52" t="str">
        <f>IFERROR(Count_Tbl[[#This Row],[Multiracial Male]]/Tot_Multiracial_Male," ")</f>
        <v xml:space="preserve"> </v>
      </c>
      <c r="P6" s="52" t="str">
        <f>IFERROR(Count_Tbl[[#This Row],[Multiracial Female]]/Tot_Multiracial_Female," ")</f>
        <v xml:space="preserve"> </v>
      </c>
      <c r="Q6" s="170" t="str">
        <f>IFERROR(Count_Tbl[[#This Row],[Native American or Alaska Native]]/Tot_AIorAN," ")</f>
        <v xml:space="preserve"> </v>
      </c>
      <c r="R6" s="170" t="str">
        <f>IFERROR(Count_Tbl[[#This Row],[Native American or Alaska Native Male]]/Tot_AIorAN_Male," ")</f>
        <v xml:space="preserve"> </v>
      </c>
      <c r="S6" s="170" t="str">
        <f>IFERROR(Count_Tbl[[#This Row],[Native American or Alaska Native Female]]/Tot_AIorAN_Female," ")</f>
        <v xml:space="preserve"> </v>
      </c>
      <c r="T6" s="52" t="str" cm="1">
        <f t="array" ref="T6">IFERROR(Count_Tbl[[#This Row],[White Non-Latinx]]/Tot_WN_Latinx, " ")</f>
        <v xml:space="preserve"> </v>
      </c>
      <c r="U6" s="52" t="str" cm="1">
        <f t="array" ref="U6">IFERROR(Count_Tbl[[#This Row],[White Non-Latinx Male]]/Tot_WN_Latinx_Male, " ")</f>
        <v xml:space="preserve"> </v>
      </c>
      <c r="V6" s="52" t="str" cm="1">
        <f t="array" ref="V6">IFERROR(Count_Tbl[[#This Row],[White Non-Latinx Female]]/Tot_WN_Latinx_Female, " ")</f>
        <v xml:space="preserve"> </v>
      </c>
      <c r="W6" s="170" t="str">
        <f>IFERROR(Count_Tbl[[#This Row],[Learners with Disabilities]]/Tot_Disab," ")</f>
        <v xml:space="preserve"> </v>
      </c>
      <c r="X6" s="170" t="str">
        <f>IFERROR(Count_Tbl[[#This Row],[Learners with Disabilities Male]]/Tot_Disab_Male," ")</f>
        <v xml:space="preserve"> </v>
      </c>
      <c r="Y6" s="170" t="str">
        <f>IFERROR(Count_Tbl[[#This Row],[Learners with Disabilities Female]]/Tot_Disab_Female," ")</f>
        <v xml:space="preserve"> </v>
      </c>
      <c r="Z6" s="52" t="str">
        <f>IFERROR(Count_Tbl[[#This Row],[Economically Disadvantaged]]/Tot_Econ_Disadv," ")</f>
        <v xml:space="preserve"> </v>
      </c>
      <c r="AA6" s="52" t="str">
        <f>IFERROR(Count_Tbl[[#This Row],[Economically Disadvantaged Male]]/Tot_Econ_Disadv_Male," ")</f>
        <v xml:space="preserve"> </v>
      </c>
      <c r="AB6" s="52" t="str">
        <f>IFERROR(Count_Tbl[[#This Row],[Economically Disadvantaged Female]]/Tot_Econ_Disadv_Female," ")</f>
        <v xml:space="preserve"> </v>
      </c>
      <c r="AC6" s="170" t="str">
        <f>IFERROR(Count_Tbl[[#This Row],[English Learner]]/Tot_Eng_Lang," ")</f>
        <v xml:space="preserve"> </v>
      </c>
      <c r="AD6" s="170" t="str">
        <f>IFERROR(Count_Tbl[[#This Row],[English Learner Male]]/Tot_Eng_Lang_Male," ")</f>
        <v xml:space="preserve"> </v>
      </c>
      <c r="AE6" s="170" t="str">
        <f>IFERROR(Count_Tbl[[#This Row],[English Learner Female]]/Tot_Eng_Lang_Female," ")</f>
        <v xml:space="preserve"> </v>
      </c>
      <c r="AF6" s="52" t="str">
        <f>IFERROR(Count_Tbl[[#This Row],[Migrant]]/Tot_Migrant," ")</f>
        <v xml:space="preserve"> </v>
      </c>
      <c r="AG6" s="52" t="str">
        <f>IFERROR(Count_Tbl[[#This Row],[Migrant Male]]/Tot_Migrant_Male," ")</f>
        <v xml:space="preserve"> </v>
      </c>
      <c r="AH6" s="53" t="str">
        <f>IFERROR(Count_Tbl[[#This Row],[Migrant Female]]/Tot_Migrant_Female," ")</f>
        <v xml:space="preserve"> </v>
      </c>
      <c r="AI6" s="27"/>
      <c r="AJ6" s="27"/>
      <c r="AK6" s="27"/>
      <c r="AL6" s="27"/>
      <c r="AM6" s="27"/>
      <c r="AN6" s="27"/>
      <c r="AO6" s="27"/>
      <c r="AP6" s="27"/>
      <c r="AQ6" s="27"/>
      <c r="AR6" s="27"/>
      <c r="AS6" s="27"/>
      <c r="AT6" s="27"/>
    </row>
    <row r="7" spans="1:46" ht="18" customHeight="1" x14ac:dyDescent="0.2">
      <c r="A7" s="48" t="str">
        <f>Count_Tbl[[#This Row],[Column1]]</f>
        <v>HWHD CTE Concentration</v>
      </c>
      <c r="B7" s="173" t="str">
        <f>IFERROR(Count_Tbl[[#This Row],[Total Population for Each Indicator]]/Tot_Student_Pop," ")</f>
        <v xml:space="preserve"> </v>
      </c>
      <c r="C7" s="52" t="str">
        <f>IFERROR(Count_Tbl[[#This Row],[Male]]/Tot_Male," ")</f>
        <v xml:space="preserve"> </v>
      </c>
      <c r="D7" s="52" t="str">
        <f>IFERROR(Count_Tbl[[#This Row],[Female]]/Tot_Female," ")</f>
        <v xml:space="preserve"> </v>
      </c>
      <c r="E7" s="170" t="str">
        <f>IFERROR(Count_Tbl[[#This Row],[Asian or Pacific Islander]]/Tot_API," ")</f>
        <v xml:space="preserve"> </v>
      </c>
      <c r="F7" s="170" t="str">
        <f>IFERROR(Count_Tbl[[#This Row],[Asian or Pacific Islander Male]]/Tot_API_Male," ")</f>
        <v xml:space="preserve"> </v>
      </c>
      <c r="G7" s="170" t="str">
        <f>IFERROR(Count_Tbl[[#This Row],[Asian or Pacific Islander Female]]/Tot_API_Female," ")</f>
        <v xml:space="preserve"> </v>
      </c>
      <c r="H7" s="52" t="str">
        <f>IFERROR(Count_Tbl[[#This Row],[Black Non-Latinx]]/Tot_BNL," ")</f>
        <v xml:space="preserve"> </v>
      </c>
      <c r="I7" s="52" t="str">
        <f>IFERROR(Count_Tbl[[#This Row],[Black Non-Latinx Male]]/Tot_BNL_Male," ")</f>
        <v xml:space="preserve"> </v>
      </c>
      <c r="J7" s="52" t="str">
        <f>IFERROR(Count_Tbl[[#This Row],[Black Non-Latinx Female]]/Tot_BNL_Female," ")</f>
        <v xml:space="preserve"> </v>
      </c>
      <c r="K7" s="170" t="str" cm="1">
        <f t="array" ref="K7">IFERROR(Count_Tbl[[#This Row],[Latinx]]/Tot_Latinx," ")</f>
        <v xml:space="preserve"> </v>
      </c>
      <c r="L7" s="170" t="str" cm="1">
        <f t="array" ref="L7">IFERROR(Count_Tbl[[#This Row],[Latinx Male]]/Tot_Latinx_Male," ")</f>
        <v xml:space="preserve"> </v>
      </c>
      <c r="M7" s="170" t="str" cm="1">
        <f t="array" ref="M7">IFERROR(Count_Tbl[[#This Row],[Latinx Female]]/Tot_Latinx_Female," ")</f>
        <v xml:space="preserve"> </v>
      </c>
      <c r="N7" s="52" t="str">
        <f>IFERROR(Count_Tbl[[#This Row],[Multiracial]]/Tot_Multiracial," ")</f>
        <v xml:space="preserve"> </v>
      </c>
      <c r="O7" s="52" t="str">
        <f>IFERROR(Count_Tbl[[#This Row],[Multiracial Male]]/Tot_Multiracial_Male," ")</f>
        <v xml:space="preserve"> </v>
      </c>
      <c r="P7" s="52" t="str">
        <f>IFERROR(Count_Tbl[[#This Row],[Multiracial Female]]/Tot_Multiracial_Female," ")</f>
        <v xml:space="preserve"> </v>
      </c>
      <c r="Q7" s="170" t="str">
        <f>IFERROR(Count_Tbl[[#This Row],[Native American or Alaska Native]]/Tot_AIorAN," ")</f>
        <v xml:space="preserve"> </v>
      </c>
      <c r="R7" s="170" t="str">
        <f>IFERROR(Count_Tbl[[#This Row],[Native American or Alaska Native Male]]/Tot_AIorAN_Male," ")</f>
        <v xml:space="preserve"> </v>
      </c>
      <c r="S7" s="170" t="str">
        <f>IFERROR(Count_Tbl[[#This Row],[Native American or Alaska Native Female]]/Tot_AIorAN_Female," ")</f>
        <v xml:space="preserve"> </v>
      </c>
      <c r="T7" s="52" t="str" cm="1">
        <f t="array" ref="T7">IFERROR(Count_Tbl[[#This Row],[White Non-Latinx]]/Tot_WN_Latinx, " ")</f>
        <v xml:space="preserve"> </v>
      </c>
      <c r="U7" s="52" t="str" cm="1">
        <f t="array" ref="U7">IFERROR(Count_Tbl[[#This Row],[White Non-Latinx Male]]/Tot_WN_Latinx_Male, " ")</f>
        <v xml:space="preserve"> </v>
      </c>
      <c r="V7" s="52" t="str" cm="1">
        <f t="array" ref="V7">IFERROR(Count_Tbl[[#This Row],[White Non-Latinx Female]]/Tot_WN_Latinx_Female, " ")</f>
        <v xml:space="preserve"> </v>
      </c>
      <c r="W7" s="170" t="str">
        <f>IFERROR(Count_Tbl[[#This Row],[Learners with Disabilities]]/Tot_Disab," ")</f>
        <v xml:space="preserve"> </v>
      </c>
      <c r="X7" s="170" t="str">
        <f>IFERROR(Count_Tbl[[#This Row],[Learners with Disabilities Male]]/Tot_Disab_Male," ")</f>
        <v xml:space="preserve"> </v>
      </c>
      <c r="Y7" s="170" t="str">
        <f>IFERROR(Count_Tbl[[#This Row],[Learners with Disabilities Female]]/Tot_Disab_Female," ")</f>
        <v xml:space="preserve"> </v>
      </c>
      <c r="Z7" s="52" t="str">
        <f>IFERROR(Count_Tbl[[#This Row],[Economically Disadvantaged]]/Tot_Econ_Disadv," ")</f>
        <v xml:space="preserve"> </v>
      </c>
      <c r="AA7" s="52" t="str">
        <f>IFERROR(Count_Tbl[[#This Row],[Economically Disadvantaged Male]]/Tot_Econ_Disadv_Male," ")</f>
        <v xml:space="preserve"> </v>
      </c>
      <c r="AB7" s="52" t="str">
        <f>IFERROR(Count_Tbl[[#This Row],[Economically Disadvantaged Female]]/Tot_Econ_Disadv_Female," ")</f>
        <v xml:space="preserve"> </v>
      </c>
      <c r="AC7" s="170" t="str">
        <f>IFERROR(Count_Tbl[[#This Row],[English Learner]]/Tot_Eng_Lang," ")</f>
        <v xml:space="preserve"> </v>
      </c>
      <c r="AD7" s="170" t="str">
        <f>IFERROR(Count_Tbl[[#This Row],[English Learner Male]]/Tot_Eng_Lang_Male," ")</f>
        <v xml:space="preserve"> </v>
      </c>
      <c r="AE7" s="170" t="str">
        <f>IFERROR(Count_Tbl[[#This Row],[English Learner Female]]/Tot_Eng_Lang_Female," ")</f>
        <v xml:space="preserve"> </v>
      </c>
      <c r="AF7" s="52" t="str">
        <f>IFERROR(Count_Tbl[[#This Row],[Migrant]]/Tot_Migrant," ")</f>
        <v xml:space="preserve"> </v>
      </c>
      <c r="AG7" s="52" t="str">
        <f>IFERROR(Count_Tbl[[#This Row],[Migrant Male]]/Tot_Migrant_Male," ")</f>
        <v xml:space="preserve"> </v>
      </c>
      <c r="AH7" s="53" t="str">
        <f>IFERROR(Count_Tbl[[#This Row],[Migrant Female]]/Tot_Migrant_Female," ")</f>
        <v xml:space="preserve"> </v>
      </c>
      <c r="AI7" s="27"/>
      <c r="AJ7" s="27"/>
      <c r="AK7" s="27"/>
      <c r="AL7" s="27"/>
      <c r="AM7" s="27"/>
      <c r="AN7" s="27"/>
      <c r="AO7" s="27"/>
      <c r="AP7" s="27"/>
      <c r="AQ7" s="27"/>
      <c r="AR7" s="27"/>
      <c r="AS7" s="27"/>
      <c r="AT7" s="27"/>
    </row>
    <row r="8" spans="1:46" ht="18" customHeight="1" x14ac:dyDescent="0.2">
      <c r="A8" s="48" t="str">
        <f>Count_Tbl[[#This Row],[Column1]]</f>
        <v>WBL Completion</v>
      </c>
      <c r="B8" s="173" t="str">
        <f>IFERROR(Count_Tbl[[#This Row],[Total Population for Each Indicator]]/Tot_Student_Pop," ")</f>
        <v xml:space="preserve"> </v>
      </c>
      <c r="C8" s="52" t="str">
        <f>IFERROR(Count_Tbl[[#This Row],[Male]]/Tot_Male," ")</f>
        <v xml:space="preserve"> </v>
      </c>
      <c r="D8" s="52" t="str">
        <f>IFERROR(Count_Tbl[[#This Row],[Female]]/Tot_Female," ")</f>
        <v xml:space="preserve"> </v>
      </c>
      <c r="E8" s="170" t="str">
        <f>IFERROR(Count_Tbl[[#This Row],[Asian or Pacific Islander]]/Tot_API," ")</f>
        <v xml:space="preserve"> </v>
      </c>
      <c r="F8" s="170" t="str">
        <f>IFERROR(Count_Tbl[[#This Row],[Asian or Pacific Islander Male]]/Tot_API_Male," ")</f>
        <v xml:space="preserve"> </v>
      </c>
      <c r="G8" s="170" t="str">
        <f>IFERROR(Count_Tbl[[#This Row],[Asian or Pacific Islander Female]]/Tot_API_Female," ")</f>
        <v xml:space="preserve"> </v>
      </c>
      <c r="H8" s="52" t="str">
        <f>IFERROR(Count_Tbl[[#This Row],[Black Non-Latinx]]/Tot_BNL," ")</f>
        <v xml:space="preserve"> </v>
      </c>
      <c r="I8" s="52" t="str">
        <f>IFERROR(Count_Tbl[[#This Row],[Black Non-Latinx Male]]/Tot_BNL_Male," ")</f>
        <v xml:space="preserve"> </v>
      </c>
      <c r="J8" s="52" t="str">
        <f>IFERROR(Count_Tbl[[#This Row],[Black Non-Latinx Female]]/Tot_BNL_Female," ")</f>
        <v xml:space="preserve"> </v>
      </c>
      <c r="K8" s="170" t="str" cm="1">
        <f t="array" ref="K8">IFERROR(Count_Tbl[[#This Row],[Latinx]]/Tot_Latinx," ")</f>
        <v xml:space="preserve"> </v>
      </c>
      <c r="L8" s="170" t="str" cm="1">
        <f t="array" ref="L8">IFERROR(Count_Tbl[[#This Row],[Latinx Male]]/Tot_Latinx_Male," ")</f>
        <v xml:space="preserve"> </v>
      </c>
      <c r="M8" s="170" t="str" cm="1">
        <f t="array" ref="M8">IFERROR(Count_Tbl[[#This Row],[Latinx Female]]/Tot_Latinx_Female," ")</f>
        <v xml:space="preserve"> </v>
      </c>
      <c r="N8" s="52" t="str">
        <f>IFERROR(Count_Tbl[[#This Row],[Multiracial]]/Tot_Multiracial," ")</f>
        <v xml:space="preserve"> </v>
      </c>
      <c r="O8" s="52" t="str">
        <f>IFERROR(Count_Tbl[[#This Row],[Multiracial Male]]/Tot_Multiracial_Male," ")</f>
        <v xml:space="preserve"> </v>
      </c>
      <c r="P8" s="52" t="str">
        <f>IFERROR(Count_Tbl[[#This Row],[Multiracial Female]]/Tot_Multiracial_Female," ")</f>
        <v xml:space="preserve"> </v>
      </c>
      <c r="Q8" s="170" t="str">
        <f>IFERROR(Count_Tbl[[#This Row],[Native American or Alaska Native]]/Tot_AIorAN," ")</f>
        <v xml:space="preserve"> </v>
      </c>
      <c r="R8" s="170" t="str">
        <f>IFERROR(Count_Tbl[[#This Row],[Native American or Alaska Native Male]]/Tot_AIorAN_Male," ")</f>
        <v xml:space="preserve"> </v>
      </c>
      <c r="S8" s="170" t="str">
        <f>IFERROR(Count_Tbl[[#This Row],[Native American or Alaska Native Female]]/Tot_AIorAN_Female," ")</f>
        <v xml:space="preserve"> </v>
      </c>
      <c r="T8" s="52" t="str" cm="1">
        <f t="array" ref="T8">IFERROR(Count_Tbl[[#This Row],[White Non-Latinx]]/Tot_WN_Latinx, " ")</f>
        <v xml:space="preserve"> </v>
      </c>
      <c r="U8" s="52" t="str" cm="1">
        <f t="array" ref="U8">IFERROR(Count_Tbl[[#This Row],[White Non-Latinx Male]]/Tot_WN_Latinx_Male, " ")</f>
        <v xml:space="preserve"> </v>
      </c>
      <c r="V8" s="52" t="str" cm="1">
        <f t="array" ref="V8">IFERROR(Count_Tbl[[#This Row],[White Non-Latinx Female]]/Tot_WN_Latinx_Female, " ")</f>
        <v xml:space="preserve"> </v>
      </c>
      <c r="W8" s="170" t="str">
        <f>IFERROR(Count_Tbl[[#This Row],[Learners with Disabilities]]/Tot_Disab," ")</f>
        <v xml:space="preserve"> </v>
      </c>
      <c r="X8" s="170" t="str">
        <f>IFERROR(Count_Tbl[[#This Row],[Learners with Disabilities Male]]/Tot_Disab_Male," ")</f>
        <v xml:space="preserve"> </v>
      </c>
      <c r="Y8" s="170" t="str">
        <f>IFERROR(Count_Tbl[[#This Row],[Learners with Disabilities Female]]/Tot_Disab_Female," ")</f>
        <v xml:space="preserve"> </v>
      </c>
      <c r="Z8" s="52" t="str">
        <f>IFERROR(Count_Tbl[[#This Row],[Economically Disadvantaged]]/Tot_Econ_Disadv," ")</f>
        <v xml:space="preserve"> </v>
      </c>
      <c r="AA8" s="52" t="str">
        <f>IFERROR(Count_Tbl[[#This Row],[Economically Disadvantaged Male]]/Tot_Econ_Disadv_Male," ")</f>
        <v xml:space="preserve"> </v>
      </c>
      <c r="AB8" s="52" t="str">
        <f>IFERROR(Count_Tbl[[#This Row],[Economically Disadvantaged Female]]/Tot_Econ_Disadv_Female," ")</f>
        <v xml:space="preserve"> </v>
      </c>
      <c r="AC8" s="170" t="str">
        <f>IFERROR(Count_Tbl[[#This Row],[English Learner]]/Tot_Eng_Lang," ")</f>
        <v xml:space="preserve"> </v>
      </c>
      <c r="AD8" s="170" t="str">
        <f>IFERROR(Count_Tbl[[#This Row],[English Learner Male]]/Tot_Eng_Lang_Male," ")</f>
        <v xml:space="preserve"> </v>
      </c>
      <c r="AE8" s="170" t="str">
        <f>IFERROR(Count_Tbl[[#This Row],[English Learner Female]]/Tot_Eng_Lang_Female," ")</f>
        <v xml:space="preserve"> </v>
      </c>
      <c r="AF8" s="52" t="str">
        <f>IFERROR(Count_Tbl[[#This Row],[Migrant]]/Tot_Migrant," ")</f>
        <v xml:space="preserve"> </v>
      </c>
      <c r="AG8" s="52" t="str">
        <f>IFERROR(Count_Tbl[[#This Row],[Migrant Male]]/Tot_Migrant_Male," ")</f>
        <v xml:space="preserve"> </v>
      </c>
      <c r="AH8" s="53" t="str">
        <f>IFERROR(Count_Tbl[[#This Row],[Migrant Female]]/Tot_Migrant_Female," ")</f>
        <v xml:space="preserve"> </v>
      </c>
      <c r="AI8" s="27"/>
      <c r="AJ8" s="27"/>
      <c r="AK8" s="27"/>
      <c r="AL8" s="27"/>
      <c r="AM8" s="27"/>
      <c r="AN8" s="27"/>
      <c r="AO8" s="27"/>
      <c r="AP8" s="27"/>
      <c r="AQ8" s="27"/>
      <c r="AR8" s="27"/>
      <c r="AS8" s="27"/>
      <c r="AT8" s="27"/>
    </row>
    <row r="9" spans="1:46" ht="18" customHeight="1" x14ac:dyDescent="0.2">
      <c r="A9" s="48" t="str">
        <f>Count_Tbl[[#This Row],[Column1]]</f>
        <v>Advanced Coursework Completion</v>
      </c>
      <c r="B9" s="173" t="str">
        <f>IFERROR(Count_Tbl[[#This Row],[Total Population for Each Indicator]]/Tot_Student_Pop," ")</f>
        <v xml:space="preserve"> </v>
      </c>
      <c r="C9" s="52" t="str">
        <f>IFERROR(Count_Tbl[[#This Row],[Male]]/Tot_Male," ")</f>
        <v xml:space="preserve"> </v>
      </c>
      <c r="D9" s="52" t="str">
        <f>IFERROR(Count_Tbl[[#This Row],[Female]]/Tot_Female," ")</f>
        <v xml:space="preserve"> </v>
      </c>
      <c r="E9" s="170" t="str">
        <f>IFERROR(Count_Tbl[[#This Row],[Asian or Pacific Islander]]/Tot_API," ")</f>
        <v xml:space="preserve"> </v>
      </c>
      <c r="F9" s="170" t="str">
        <f>IFERROR(Count_Tbl[[#This Row],[Asian or Pacific Islander Male]]/Tot_API_Male," ")</f>
        <v xml:space="preserve"> </v>
      </c>
      <c r="G9" s="170" t="str">
        <f>IFERROR(Count_Tbl[[#This Row],[Asian or Pacific Islander Female]]/Tot_API_Female," ")</f>
        <v xml:space="preserve"> </v>
      </c>
      <c r="H9" s="52" t="str">
        <f>IFERROR(Count_Tbl[[#This Row],[Black Non-Latinx]]/Tot_BNL," ")</f>
        <v xml:space="preserve"> </v>
      </c>
      <c r="I9" s="52" t="str">
        <f>IFERROR(Count_Tbl[[#This Row],[Black Non-Latinx Male]]/Tot_BNL_Male," ")</f>
        <v xml:space="preserve"> </v>
      </c>
      <c r="J9" s="52" t="str">
        <f>IFERROR(Count_Tbl[[#This Row],[Black Non-Latinx Female]]/Tot_BNL_Female," ")</f>
        <v xml:space="preserve"> </v>
      </c>
      <c r="K9" s="170" t="str" cm="1">
        <f t="array" ref="K9">IFERROR(Count_Tbl[[#This Row],[Latinx]]/Tot_Latinx," ")</f>
        <v xml:space="preserve"> </v>
      </c>
      <c r="L9" s="170" t="str" cm="1">
        <f t="array" ref="L9">IFERROR(Count_Tbl[[#This Row],[Latinx Male]]/Tot_Latinx_Male," ")</f>
        <v xml:space="preserve"> </v>
      </c>
      <c r="M9" s="170" t="str" cm="1">
        <f t="array" ref="M9">IFERROR(Count_Tbl[[#This Row],[Latinx Female]]/Tot_Latinx_Female," ")</f>
        <v xml:space="preserve"> </v>
      </c>
      <c r="N9" s="52" t="str">
        <f>IFERROR(Count_Tbl[[#This Row],[Multiracial]]/Tot_Multiracial," ")</f>
        <v xml:space="preserve"> </v>
      </c>
      <c r="O9" s="52" t="str">
        <f>IFERROR(Count_Tbl[[#This Row],[Multiracial Male]]/Tot_Multiracial_Male," ")</f>
        <v xml:space="preserve"> </v>
      </c>
      <c r="P9" s="52" t="str">
        <f>IFERROR(Count_Tbl[[#This Row],[Multiracial Female]]/Tot_Multiracial_Female," ")</f>
        <v xml:space="preserve"> </v>
      </c>
      <c r="Q9" s="170" t="str">
        <f>IFERROR(Count_Tbl[[#This Row],[Native American or Alaska Native]]/Tot_AIorAN," ")</f>
        <v xml:space="preserve"> </v>
      </c>
      <c r="R9" s="170" t="str">
        <f>IFERROR(Count_Tbl[[#This Row],[Native American or Alaska Native Male]]/Tot_AIorAN_Male," ")</f>
        <v xml:space="preserve"> </v>
      </c>
      <c r="S9" s="170" t="str">
        <f>IFERROR(Count_Tbl[[#This Row],[Native American or Alaska Native Female]]/Tot_AIorAN_Female," ")</f>
        <v xml:space="preserve"> </v>
      </c>
      <c r="T9" s="52" t="str" cm="1">
        <f t="array" ref="T9">IFERROR(Count_Tbl[[#This Row],[White Non-Latinx]]/Tot_WN_Latinx, " ")</f>
        <v xml:space="preserve"> </v>
      </c>
      <c r="U9" s="52" t="str" cm="1">
        <f t="array" ref="U9">IFERROR(Count_Tbl[[#This Row],[White Non-Latinx Male]]/Tot_WN_Latinx_Male, " ")</f>
        <v xml:space="preserve"> </v>
      </c>
      <c r="V9" s="52" t="str" cm="1">
        <f t="array" ref="V9">IFERROR(Count_Tbl[[#This Row],[White Non-Latinx Female]]/Tot_WN_Latinx_Female, " ")</f>
        <v xml:space="preserve"> </v>
      </c>
      <c r="W9" s="170" t="str">
        <f>IFERROR(Count_Tbl[[#This Row],[Learners with Disabilities]]/Tot_Disab," ")</f>
        <v xml:space="preserve"> </v>
      </c>
      <c r="X9" s="170" t="str">
        <f>IFERROR(Count_Tbl[[#This Row],[Learners with Disabilities Male]]/Tot_Disab_Male," ")</f>
        <v xml:space="preserve"> </v>
      </c>
      <c r="Y9" s="170" t="str">
        <f>IFERROR(Count_Tbl[[#This Row],[Learners with Disabilities Female]]/Tot_Disab_Female," ")</f>
        <v xml:space="preserve"> </v>
      </c>
      <c r="Z9" s="52" t="str">
        <f>IFERROR(Count_Tbl[[#This Row],[Economically Disadvantaged]]/Tot_Econ_Disadv," ")</f>
        <v xml:space="preserve"> </v>
      </c>
      <c r="AA9" s="52" t="str">
        <f>IFERROR(Count_Tbl[[#This Row],[Economically Disadvantaged Male]]/Tot_Econ_Disadv_Male," ")</f>
        <v xml:space="preserve"> </v>
      </c>
      <c r="AB9" s="52" t="str">
        <f>IFERROR(Count_Tbl[[#This Row],[Economically Disadvantaged Female]]/Tot_Econ_Disadv_Female," ")</f>
        <v xml:space="preserve"> </v>
      </c>
      <c r="AC9" s="170" t="str">
        <f>IFERROR(Count_Tbl[[#This Row],[English Learner]]/Tot_Eng_Lang," ")</f>
        <v xml:space="preserve"> </v>
      </c>
      <c r="AD9" s="170" t="str">
        <f>IFERROR(Count_Tbl[[#This Row],[English Learner Male]]/Tot_Eng_Lang_Male," ")</f>
        <v xml:space="preserve"> </v>
      </c>
      <c r="AE9" s="170" t="str">
        <f>IFERROR(Count_Tbl[[#This Row],[English Learner Female]]/Tot_Eng_Lang_Female," ")</f>
        <v xml:space="preserve"> </v>
      </c>
      <c r="AF9" s="52" t="str">
        <f>IFERROR(Count_Tbl[[#This Row],[Migrant]]/Tot_Migrant," ")</f>
        <v xml:space="preserve"> </v>
      </c>
      <c r="AG9" s="52" t="str">
        <f>IFERROR(Count_Tbl[[#This Row],[Migrant Male]]/Tot_Migrant_Male," ")</f>
        <v xml:space="preserve"> </v>
      </c>
      <c r="AH9" s="53" t="str">
        <f>IFERROR(Count_Tbl[[#This Row],[Migrant Female]]/Tot_Migrant_Female," ")</f>
        <v xml:space="preserve"> </v>
      </c>
      <c r="AI9" s="27"/>
      <c r="AJ9" s="27"/>
      <c r="AK9" s="27"/>
      <c r="AL9" s="27"/>
      <c r="AM9" s="27"/>
      <c r="AN9" s="27"/>
      <c r="AO9" s="27"/>
      <c r="AP9" s="27"/>
      <c r="AQ9" s="27"/>
      <c r="AR9" s="27"/>
      <c r="AS9" s="27"/>
      <c r="AT9" s="27"/>
    </row>
    <row r="10" spans="1:46" ht="18" customHeight="1" x14ac:dyDescent="0.2">
      <c r="A10" s="48" t="str">
        <f>Count_Tbl[[#This Row],[Column1]]</f>
        <v>Credential Completion</v>
      </c>
      <c r="B10" s="173" t="str">
        <f>IFERROR(Count_Tbl[[#This Row],[Total Population for Each Indicator]]/Tot_Student_Pop," ")</f>
        <v xml:space="preserve"> </v>
      </c>
      <c r="C10" s="52" t="str">
        <f>IFERROR(Count_Tbl[[#This Row],[Male]]/Tot_Male," ")</f>
        <v xml:space="preserve"> </v>
      </c>
      <c r="D10" s="52" t="str">
        <f>IFERROR(Count_Tbl[[#This Row],[Female]]/Tot_Female," ")</f>
        <v xml:space="preserve"> </v>
      </c>
      <c r="E10" s="170" t="str">
        <f>IFERROR(Count_Tbl[[#This Row],[Asian or Pacific Islander]]/Tot_API," ")</f>
        <v xml:space="preserve"> </v>
      </c>
      <c r="F10" s="170" t="str">
        <f>IFERROR(Count_Tbl[[#This Row],[Asian or Pacific Islander Male]]/Tot_API_Male," ")</f>
        <v xml:space="preserve"> </v>
      </c>
      <c r="G10" s="170" t="str">
        <f>IFERROR(Count_Tbl[[#This Row],[Asian or Pacific Islander Female]]/Tot_API_Female," ")</f>
        <v xml:space="preserve"> </v>
      </c>
      <c r="H10" s="52" t="str">
        <f>IFERROR(Count_Tbl[[#This Row],[Black Non-Latinx]]/Tot_BNL," ")</f>
        <v xml:space="preserve"> </v>
      </c>
      <c r="I10" s="52" t="str">
        <f>IFERROR(Count_Tbl[[#This Row],[Black Non-Latinx Male]]/Tot_BNL_Male," ")</f>
        <v xml:space="preserve"> </v>
      </c>
      <c r="J10" s="52" t="str">
        <f>IFERROR(Count_Tbl[[#This Row],[Black Non-Latinx Female]]/Tot_BNL_Female," ")</f>
        <v xml:space="preserve"> </v>
      </c>
      <c r="K10" s="170" t="str" cm="1">
        <f t="array" ref="K10">IFERROR(Count_Tbl[[#This Row],[Latinx]]/Tot_Latinx," ")</f>
        <v xml:space="preserve"> </v>
      </c>
      <c r="L10" s="170" t="str" cm="1">
        <f t="array" ref="L10">IFERROR(Count_Tbl[[#This Row],[Latinx Male]]/Tot_Latinx_Male," ")</f>
        <v xml:space="preserve"> </v>
      </c>
      <c r="M10" s="170" t="str" cm="1">
        <f t="array" ref="M10">IFERROR(Count_Tbl[[#This Row],[Latinx Female]]/Tot_Latinx_Female," ")</f>
        <v xml:space="preserve"> </v>
      </c>
      <c r="N10" s="52" t="str">
        <f>IFERROR(Count_Tbl[[#This Row],[Multiracial]]/Tot_Multiracial," ")</f>
        <v xml:space="preserve"> </v>
      </c>
      <c r="O10" s="52" t="str">
        <f>IFERROR(Count_Tbl[[#This Row],[Multiracial Male]]/Tot_Multiracial_Male," ")</f>
        <v xml:space="preserve"> </v>
      </c>
      <c r="P10" s="52" t="str">
        <f>IFERROR(Count_Tbl[[#This Row],[Multiracial Female]]/Tot_Multiracial_Female," ")</f>
        <v xml:space="preserve"> </v>
      </c>
      <c r="Q10" s="170" t="str">
        <f>IFERROR(Count_Tbl[[#This Row],[Native American or Alaska Native]]/Tot_AIorAN," ")</f>
        <v xml:space="preserve"> </v>
      </c>
      <c r="R10" s="170" t="str">
        <f>IFERROR(Count_Tbl[[#This Row],[Native American or Alaska Native Male]]/Tot_AIorAN_Male," ")</f>
        <v xml:space="preserve"> </v>
      </c>
      <c r="S10" s="170" t="str">
        <f>IFERROR(Count_Tbl[[#This Row],[Native American or Alaska Native Female]]/Tot_AIorAN_Female," ")</f>
        <v xml:space="preserve"> </v>
      </c>
      <c r="T10" s="52" t="str" cm="1">
        <f t="array" ref="T10">IFERROR(Count_Tbl[[#This Row],[White Non-Latinx]]/Tot_WN_Latinx, " ")</f>
        <v xml:space="preserve"> </v>
      </c>
      <c r="U10" s="52" t="str" cm="1">
        <f t="array" ref="U10">IFERROR(Count_Tbl[[#This Row],[White Non-Latinx Male]]/Tot_WN_Latinx_Male, " ")</f>
        <v xml:space="preserve"> </v>
      </c>
      <c r="V10" s="52" t="str" cm="1">
        <f t="array" ref="V10">IFERROR(Count_Tbl[[#This Row],[White Non-Latinx Female]]/Tot_WN_Latinx_Female, " ")</f>
        <v xml:space="preserve"> </v>
      </c>
      <c r="W10" s="170" t="str">
        <f>IFERROR(Count_Tbl[[#This Row],[Learners with Disabilities]]/Tot_Disab," ")</f>
        <v xml:space="preserve"> </v>
      </c>
      <c r="X10" s="170" t="str">
        <f>IFERROR(Count_Tbl[[#This Row],[Learners with Disabilities Male]]/Tot_Disab_Male," ")</f>
        <v xml:space="preserve"> </v>
      </c>
      <c r="Y10" s="170" t="str">
        <f>IFERROR(Count_Tbl[[#This Row],[Learners with Disabilities Female]]/Tot_Disab_Female," ")</f>
        <v xml:space="preserve"> </v>
      </c>
      <c r="Z10" s="52" t="str">
        <f>IFERROR(Count_Tbl[[#This Row],[Economically Disadvantaged]]/Tot_Econ_Disadv," ")</f>
        <v xml:space="preserve"> </v>
      </c>
      <c r="AA10" s="52" t="str">
        <f>IFERROR(Count_Tbl[[#This Row],[Economically Disadvantaged Male]]/Tot_Econ_Disadv_Male," ")</f>
        <v xml:space="preserve"> </v>
      </c>
      <c r="AB10" s="52" t="str">
        <f>IFERROR(Count_Tbl[[#This Row],[Economically Disadvantaged Female]]/Tot_Econ_Disadv_Female," ")</f>
        <v xml:space="preserve"> </v>
      </c>
      <c r="AC10" s="170" t="str">
        <f>IFERROR(Count_Tbl[[#This Row],[English Learner]]/Tot_Eng_Lang," ")</f>
        <v xml:space="preserve"> </v>
      </c>
      <c r="AD10" s="170" t="str">
        <f>IFERROR(Count_Tbl[[#This Row],[English Learner Male]]/Tot_Eng_Lang_Male," ")</f>
        <v xml:space="preserve"> </v>
      </c>
      <c r="AE10" s="170" t="str">
        <f>IFERROR(Count_Tbl[[#This Row],[English Learner Female]]/Tot_Eng_Lang_Female," ")</f>
        <v xml:space="preserve"> </v>
      </c>
      <c r="AF10" s="52" t="str">
        <f>IFERROR(Count_Tbl[[#This Row],[Migrant]]/Tot_Migrant," ")</f>
        <v xml:space="preserve"> </v>
      </c>
      <c r="AG10" s="52" t="str">
        <f>IFERROR(Count_Tbl[[#This Row],[Migrant Male]]/Tot_Migrant_Male," ")</f>
        <v xml:space="preserve"> </v>
      </c>
      <c r="AH10" s="53" t="str">
        <f>IFERROR(Count_Tbl[[#This Row],[Migrant Female]]/Tot_Migrant_Female," ")</f>
        <v xml:space="preserve"> </v>
      </c>
      <c r="AI10" s="27"/>
      <c r="AJ10" s="27"/>
      <c r="AK10" s="27"/>
      <c r="AL10" s="27"/>
      <c r="AM10" s="27"/>
      <c r="AN10" s="27"/>
      <c r="AO10" s="27"/>
      <c r="AP10" s="27"/>
      <c r="AQ10" s="27"/>
      <c r="AR10" s="27"/>
      <c r="AS10" s="27"/>
      <c r="AT10" s="27"/>
    </row>
    <row r="11" spans="1:46" ht="18" customHeight="1" x14ac:dyDescent="0.2">
      <c r="A11" s="48" t="str">
        <f>Count_Tbl[[#This Row],[Column1]]</f>
        <v>Placement</v>
      </c>
      <c r="B11" s="173" t="str">
        <f>IFERROR(Count_Tbl[[#This Row],[Total Population for Each Indicator]]/Tot_Student_Pop," ")</f>
        <v xml:space="preserve"> </v>
      </c>
      <c r="C11" s="52" t="str">
        <f>IFERROR(Count_Tbl[[#This Row],[Male]]/Tot_Male," ")</f>
        <v xml:space="preserve"> </v>
      </c>
      <c r="D11" s="52" t="str">
        <f>IFERROR(Count_Tbl[[#This Row],[Female]]/Tot_Female," ")</f>
        <v xml:space="preserve"> </v>
      </c>
      <c r="E11" s="170" t="str">
        <f>IFERROR(Count_Tbl[[#This Row],[Asian or Pacific Islander]]/Tot_API," ")</f>
        <v xml:space="preserve"> </v>
      </c>
      <c r="F11" s="170" t="str">
        <f>IFERROR(Count_Tbl[[#This Row],[Asian or Pacific Islander Male]]/Tot_API_Male," ")</f>
        <v xml:space="preserve"> </v>
      </c>
      <c r="G11" s="170" t="str">
        <f>IFERROR(Count_Tbl[[#This Row],[Asian or Pacific Islander Female]]/Tot_API_Female," ")</f>
        <v xml:space="preserve"> </v>
      </c>
      <c r="H11" s="52" t="str">
        <f>IFERROR(Count_Tbl[[#This Row],[Black Non-Latinx]]/Tot_BNL," ")</f>
        <v xml:space="preserve"> </v>
      </c>
      <c r="I11" s="52" t="str">
        <f>IFERROR(Count_Tbl[[#This Row],[Black Non-Latinx Male]]/Tot_BNL_Male," ")</f>
        <v xml:space="preserve"> </v>
      </c>
      <c r="J11" s="52" t="str">
        <f>IFERROR(Count_Tbl[[#This Row],[Black Non-Latinx Female]]/Tot_BNL_Female," ")</f>
        <v xml:space="preserve"> </v>
      </c>
      <c r="K11" s="170" t="str" cm="1">
        <f t="array" ref="K11">IFERROR(Count_Tbl[[#This Row],[Latinx]]/Tot_Latinx," ")</f>
        <v xml:space="preserve"> </v>
      </c>
      <c r="L11" s="170" t="str" cm="1">
        <f t="array" ref="L11">IFERROR(Count_Tbl[[#This Row],[Latinx Male]]/Tot_Latinx_Male," ")</f>
        <v xml:space="preserve"> </v>
      </c>
      <c r="M11" s="170" t="str" cm="1">
        <f t="array" ref="M11">IFERROR(Count_Tbl[[#This Row],[Latinx Female]]/Tot_Latinx_Female," ")</f>
        <v xml:space="preserve"> </v>
      </c>
      <c r="N11" s="52" t="str">
        <f>IFERROR(Count_Tbl[[#This Row],[Multiracial]]/Tot_Multiracial," ")</f>
        <v xml:space="preserve"> </v>
      </c>
      <c r="O11" s="52" t="str">
        <f>IFERROR(Count_Tbl[[#This Row],[Multiracial Male]]/Tot_Multiracial_Male," ")</f>
        <v xml:space="preserve"> </v>
      </c>
      <c r="P11" s="52" t="str">
        <f>IFERROR(Count_Tbl[[#This Row],[Multiracial Female]]/Tot_Multiracial_Female," ")</f>
        <v xml:space="preserve"> </v>
      </c>
      <c r="Q11" s="170" t="str">
        <f>IFERROR(Count_Tbl[[#This Row],[Native American or Alaska Native]]/Tot_AIorAN," ")</f>
        <v xml:space="preserve"> </v>
      </c>
      <c r="R11" s="170" t="str">
        <f>IFERROR(Count_Tbl[[#This Row],[Native American or Alaska Native Male]]/Tot_AIorAN_Male," ")</f>
        <v xml:space="preserve"> </v>
      </c>
      <c r="S11" s="170" t="str">
        <f>IFERROR(Count_Tbl[[#This Row],[Native American or Alaska Native Female]]/Tot_AIorAN_Female," ")</f>
        <v xml:space="preserve"> </v>
      </c>
      <c r="T11" s="52" t="str" cm="1">
        <f t="array" ref="T11">IFERROR(Count_Tbl[[#This Row],[White Non-Latinx]]/Tot_WN_Latinx, " ")</f>
        <v xml:space="preserve"> </v>
      </c>
      <c r="U11" s="52" t="str" cm="1">
        <f t="array" ref="U11">IFERROR(Count_Tbl[[#This Row],[White Non-Latinx Male]]/Tot_WN_Latinx_Male, " ")</f>
        <v xml:space="preserve"> </v>
      </c>
      <c r="V11" s="52" t="str" cm="1">
        <f t="array" ref="V11">IFERROR(Count_Tbl[[#This Row],[White Non-Latinx Female]]/Tot_WN_Latinx_Female, " ")</f>
        <v xml:space="preserve"> </v>
      </c>
      <c r="W11" s="170" t="str">
        <f>IFERROR(Count_Tbl[[#This Row],[Learners with Disabilities]]/Tot_Disab," ")</f>
        <v xml:space="preserve"> </v>
      </c>
      <c r="X11" s="170" t="str">
        <f>IFERROR(Count_Tbl[[#This Row],[Learners with Disabilities Male]]/Tot_Disab_Male," ")</f>
        <v xml:space="preserve"> </v>
      </c>
      <c r="Y11" s="170" t="str">
        <f>IFERROR(Count_Tbl[[#This Row],[Learners with Disabilities Female]]/Tot_Disab_Female," ")</f>
        <v xml:space="preserve"> </v>
      </c>
      <c r="Z11" s="52" t="str">
        <f>IFERROR(Count_Tbl[[#This Row],[Economically Disadvantaged]]/Tot_Econ_Disadv," ")</f>
        <v xml:space="preserve"> </v>
      </c>
      <c r="AA11" s="52" t="str">
        <f>IFERROR(Count_Tbl[[#This Row],[Economically Disadvantaged Male]]/Tot_Econ_Disadv_Male," ")</f>
        <v xml:space="preserve"> </v>
      </c>
      <c r="AB11" s="52" t="str">
        <f>IFERROR(Count_Tbl[[#This Row],[Economically Disadvantaged Female]]/Tot_Econ_Disadv_Female," ")</f>
        <v xml:space="preserve"> </v>
      </c>
      <c r="AC11" s="170" t="str">
        <f>IFERROR(Count_Tbl[[#This Row],[English Learner]]/Tot_Eng_Lang," ")</f>
        <v xml:space="preserve"> </v>
      </c>
      <c r="AD11" s="170" t="str">
        <f>IFERROR(Count_Tbl[[#This Row],[English Learner Male]]/Tot_Eng_Lang_Male," ")</f>
        <v xml:space="preserve"> </v>
      </c>
      <c r="AE11" s="170" t="str">
        <f>IFERROR(Count_Tbl[[#This Row],[English Learner Female]]/Tot_Eng_Lang_Female," ")</f>
        <v xml:space="preserve"> </v>
      </c>
      <c r="AF11" s="52" t="str">
        <f>IFERROR(Count_Tbl[[#This Row],[Migrant]]/Tot_Migrant," ")</f>
        <v xml:space="preserve"> </v>
      </c>
      <c r="AG11" s="52" t="str">
        <f>IFERROR(Count_Tbl[[#This Row],[Migrant Male]]/Tot_Migrant_Male," ")</f>
        <v xml:space="preserve"> </v>
      </c>
      <c r="AH11" s="53" t="str">
        <f>IFERROR(Count_Tbl[[#This Row],[Migrant Female]]/Tot_Migrant_Female," ")</f>
        <v xml:space="preserve"> </v>
      </c>
      <c r="AI11" s="27"/>
      <c r="AJ11" s="27"/>
      <c r="AK11" s="27"/>
      <c r="AL11" s="27"/>
      <c r="AM11" s="27"/>
      <c r="AN11" s="27"/>
      <c r="AO11" s="27"/>
      <c r="AP11" s="27"/>
      <c r="AQ11" s="27"/>
      <c r="AR11" s="27"/>
      <c r="AS11" s="27"/>
      <c r="AT11" s="27"/>
    </row>
    <row r="12" spans="1:46" ht="18" customHeight="1" x14ac:dyDescent="0.2">
      <c r="A12" s="48" t="str">
        <f>Count_Tbl[[#This Row],[Column1]]</f>
        <v>HWHD Placement</v>
      </c>
      <c r="B12" s="173" t="str">
        <f>IFERROR(Count_Tbl[[#This Row],[Total Population for Each Indicator]]/Tot_Student_Pop," ")</f>
        <v xml:space="preserve"> </v>
      </c>
      <c r="C12" s="52" t="str">
        <f>IFERROR(Count_Tbl[[#This Row],[Male]]/Tot_Male," ")</f>
        <v xml:space="preserve"> </v>
      </c>
      <c r="D12" s="52" t="str">
        <f>IFERROR(Count_Tbl[[#This Row],[Female]]/Tot_Female," ")</f>
        <v xml:space="preserve"> </v>
      </c>
      <c r="E12" s="170" t="str">
        <f>IFERROR(Count_Tbl[[#This Row],[Asian or Pacific Islander]]/Tot_API," ")</f>
        <v xml:space="preserve"> </v>
      </c>
      <c r="F12" s="170" t="str">
        <f>IFERROR(Count_Tbl[[#This Row],[Asian or Pacific Islander Male]]/Tot_API_Male," ")</f>
        <v xml:space="preserve"> </v>
      </c>
      <c r="G12" s="170" t="str">
        <f>IFERROR(Count_Tbl[[#This Row],[Asian or Pacific Islander Female]]/Tot_API_Female," ")</f>
        <v xml:space="preserve"> </v>
      </c>
      <c r="H12" s="52" t="str">
        <f>IFERROR(Count_Tbl[[#This Row],[Black Non-Latinx]]/Tot_BNL," ")</f>
        <v xml:space="preserve"> </v>
      </c>
      <c r="I12" s="52" t="str">
        <f>IFERROR(Count_Tbl[[#This Row],[Black Non-Latinx Male]]/Tot_BNL_Male," ")</f>
        <v xml:space="preserve"> </v>
      </c>
      <c r="J12" s="52" t="str">
        <f>IFERROR(Count_Tbl[[#This Row],[Black Non-Latinx Female]]/Tot_BNL_Female," ")</f>
        <v xml:space="preserve"> </v>
      </c>
      <c r="K12" s="170" t="str" cm="1">
        <f t="array" ref="K12">IFERROR(Count_Tbl[[#This Row],[Latinx]]/Tot_Latinx," ")</f>
        <v xml:space="preserve"> </v>
      </c>
      <c r="L12" s="170" t="str" cm="1">
        <f t="array" ref="L12">IFERROR(Count_Tbl[[#This Row],[Latinx Male]]/Tot_Latinx_Male," ")</f>
        <v xml:space="preserve"> </v>
      </c>
      <c r="M12" s="170" t="str" cm="1">
        <f t="array" ref="M12">IFERROR(Count_Tbl[[#This Row],[Latinx Female]]/Tot_Latinx_Female," ")</f>
        <v xml:space="preserve"> </v>
      </c>
      <c r="N12" s="52" t="str">
        <f>IFERROR(Count_Tbl[[#This Row],[Multiracial]]/Tot_Multiracial," ")</f>
        <v xml:space="preserve"> </v>
      </c>
      <c r="O12" s="52" t="str">
        <f>IFERROR(Count_Tbl[[#This Row],[Multiracial Male]]/Tot_Multiracial_Male," ")</f>
        <v xml:space="preserve"> </v>
      </c>
      <c r="P12" s="52" t="str">
        <f>IFERROR(Count_Tbl[[#This Row],[Multiracial Female]]/Tot_Multiracial_Female," ")</f>
        <v xml:space="preserve"> </v>
      </c>
      <c r="Q12" s="170" t="str">
        <f>IFERROR(Count_Tbl[[#This Row],[Native American or Alaska Native]]/Tot_AIorAN," ")</f>
        <v xml:space="preserve"> </v>
      </c>
      <c r="R12" s="170" t="str">
        <f>IFERROR(Count_Tbl[[#This Row],[Native American or Alaska Native Male]]/Tot_AIorAN_Male," ")</f>
        <v xml:space="preserve"> </v>
      </c>
      <c r="S12" s="170" t="str">
        <f>IFERROR(Count_Tbl[[#This Row],[Native American or Alaska Native Female]]/Tot_AIorAN_Female," ")</f>
        <v xml:space="preserve"> </v>
      </c>
      <c r="T12" s="52" t="str" cm="1">
        <f t="array" ref="T12">IFERROR(Count_Tbl[[#This Row],[White Non-Latinx]]/Tot_WN_Latinx, " ")</f>
        <v xml:space="preserve"> </v>
      </c>
      <c r="U12" s="52" t="str" cm="1">
        <f t="array" ref="U12">IFERROR(Count_Tbl[[#This Row],[White Non-Latinx Male]]/Tot_WN_Latinx_Male, " ")</f>
        <v xml:space="preserve"> </v>
      </c>
      <c r="V12" s="52" t="str" cm="1">
        <f t="array" ref="V12">IFERROR(Count_Tbl[[#This Row],[White Non-Latinx Female]]/Tot_WN_Latinx_Female, " ")</f>
        <v xml:space="preserve"> </v>
      </c>
      <c r="W12" s="170" t="str">
        <f>IFERROR(Count_Tbl[[#This Row],[Learners with Disabilities]]/Tot_Disab," ")</f>
        <v xml:space="preserve"> </v>
      </c>
      <c r="X12" s="170" t="str">
        <f>IFERROR(Count_Tbl[[#This Row],[Learners with Disabilities Male]]/Tot_Disab_Male," ")</f>
        <v xml:space="preserve"> </v>
      </c>
      <c r="Y12" s="170" t="str">
        <f>IFERROR(Count_Tbl[[#This Row],[Learners with Disabilities Female]]/Tot_Disab_Female," ")</f>
        <v xml:space="preserve"> </v>
      </c>
      <c r="Z12" s="52" t="str">
        <f>IFERROR(Count_Tbl[[#This Row],[Economically Disadvantaged]]/Tot_Econ_Disadv," ")</f>
        <v xml:space="preserve"> </v>
      </c>
      <c r="AA12" s="52" t="str">
        <f>IFERROR(Count_Tbl[[#This Row],[Economically Disadvantaged Male]]/Tot_Econ_Disadv_Male," ")</f>
        <v xml:space="preserve"> </v>
      </c>
      <c r="AB12" s="52" t="str">
        <f>IFERROR(Count_Tbl[[#This Row],[Economically Disadvantaged Female]]/Tot_Econ_Disadv_Female," ")</f>
        <v xml:space="preserve"> </v>
      </c>
      <c r="AC12" s="170" t="str">
        <f>IFERROR(Count_Tbl[[#This Row],[English Learner]]/Tot_Eng_Lang," ")</f>
        <v xml:space="preserve"> </v>
      </c>
      <c r="AD12" s="170" t="str">
        <f>IFERROR(Count_Tbl[[#This Row],[English Learner Male]]/Tot_Eng_Lang_Male," ")</f>
        <v xml:space="preserve"> </v>
      </c>
      <c r="AE12" s="170" t="str">
        <f>IFERROR(Count_Tbl[[#This Row],[English Learner Female]]/Tot_Eng_Lang_Female," ")</f>
        <v xml:space="preserve"> </v>
      </c>
      <c r="AF12" s="52" t="str">
        <f>IFERROR(Count_Tbl[[#This Row],[Migrant]]/Tot_Migrant," ")</f>
        <v xml:space="preserve"> </v>
      </c>
      <c r="AG12" s="52" t="str">
        <f>IFERROR(Count_Tbl[[#This Row],[Migrant Male]]/Tot_Migrant_Male," ")</f>
        <v xml:space="preserve"> </v>
      </c>
      <c r="AH12" s="53" t="str">
        <f>IFERROR(Count_Tbl[[#This Row],[Migrant Female]]/Tot_Migrant_Female," ")</f>
        <v xml:space="preserve"> </v>
      </c>
      <c r="AI12" s="27"/>
      <c r="AJ12" s="27"/>
      <c r="AK12" s="27"/>
      <c r="AL12" s="27"/>
      <c r="AM12" s="27"/>
      <c r="AN12" s="27"/>
      <c r="AO12" s="27"/>
      <c r="AP12" s="27"/>
      <c r="AQ12" s="27"/>
      <c r="AR12" s="27"/>
      <c r="AS12" s="27"/>
      <c r="AT12" s="27"/>
    </row>
    <row r="13" spans="1:46" ht="18" customHeight="1" x14ac:dyDescent="0.2">
      <c r="A13" s="48" t="str">
        <f>Count_Tbl[[#This Row],[Column1]]</f>
        <v>Wages</v>
      </c>
      <c r="B13" s="173" t="str">
        <f>IFERROR(Count_Tbl[[#This Row],[Total Population for Each Indicator]]/Tot_Student_Pop," ")</f>
        <v xml:space="preserve"> </v>
      </c>
      <c r="C13" s="52" t="str">
        <f>IFERROR(Count_Tbl[[#This Row],[Male]]/Tot_Male," ")</f>
        <v xml:space="preserve"> </v>
      </c>
      <c r="D13" s="52" t="str">
        <f>IFERROR(Count_Tbl[[#This Row],[Female]]/Tot_Female," ")</f>
        <v xml:space="preserve"> </v>
      </c>
      <c r="E13" s="170" t="str">
        <f>IFERROR(Count_Tbl[[#This Row],[Asian or Pacific Islander]]/Tot_API," ")</f>
        <v xml:space="preserve"> </v>
      </c>
      <c r="F13" s="170" t="str">
        <f>IFERROR(Count_Tbl[[#This Row],[Asian or Pacific Islander Male]]/Tot_API_Male," ")</f>
        <v xml:space="preserve"> </v>
      </c>
      <c r="G13" s="170" t="str">
        <f>IFERROR(Count_Tbl[[#This Row],[Asian or Pacific Islander Female]]/Tot_API_Female," ")</f>
        <v xml:space="preserve"> </v>
      </c>
      <c r="H13" s="52" t="str">
        <f>IFERROR(Count_Tbl[[#This Row],[Black Non-Latinx]]/Tot_BNL," ")</f>
        <v xml:space="preserve"> </v>
      </c>
      <c r="I13" s="52" t="str">
        <f>IFERROR(Count_Tbl[[#This Row],[Black Non-Latinx Male]]/Tot_BNL_Male," ")</f>
        <v xml:space="preserve"> </v>
      </c>
      <c r="J13" s="52" t="str">
        <f>IFERROR(Count_Tbl[[#This Row],[Black Non-Latinx Female]]/Tot_BNL_Female," ")</f>
        <v xml:space="preserve"> </v>
      </c>
      <c r="K13" s="170" t="str" cm="1">
        <f t="array" ref="K13">IFERROR(Count_Tbl[[#This Row],[Latinx]]/Tot_Latinx," ")</f>
        <v xml:space="preserve"> </v>
      </c>
      <c r="L13" s="170" t="str" cm="1">
        <f t="array" ref="L13">IFERROR(Count_Tbl[[#This Row],[Latinx Male]]/Tot_Latinx_Male," ")</f>
        <v xml:space="preserve"> </v>
      </c>
      <c r="M13" s="170" t="str" cm="1">
        <f t="array" ref="M13">IFERROR(Count_Tbl[[#This Row],[Latinx Female]]/Tot_Latinx_Female," ")</f>
        <v xml:space="preserve"> </v>
      </c>
      <c r="N13" s="52" t="str">
        <f>IFERROR(Count_Tbl[[#This Row],[Multiracial]]/Tot_Multiracial," ")</f>
        <v xml:space="preserve"> </v>
      </c>
      <c r="O13" s="52" t="str">
        <f>IFERROR(Count_Tbl[[#This Row],[Multiracial Male]]/Tot_Multiracial_Male," ")</f>
        <v xml:space="preserve"> </v>
      </c>
      <c r="P13" s="52" t="str">
        <f>IFERROR(Count_Tbl[[#This Row],[Multiracial Female]]/Tot_Multiracial_Female," ")</f>
        <v xml:space="preserve"> </v>
      </c>
      <c r="Q13" s="170" t="str">
        <f>IFERROR(Count_Tbl[[#This Row],[Native American or Alaska Native]]/Tot_AIorAN," ")</f>
        <v xml:space="preserve"> </v>
      </c>
      <c r="R13" s="170" t="str">
        <f>IFERROR(Count_Tbl[[#This Row],[Native American or Alaska Native Male]]/Tot_AIorAN_Male," ")</f>
        <v xml:space="preserve"> </v>
      </c>
      <c r="S13" s="170" t="str">
        <f>IFERROR(Count_Tbl[[#This Row],[Native American or Alaska Native Female]]/Tot_AIorAN_Female," ")</f>
        <v xml:space="preserve"> </v>
      </c>
      <c r="T13" s="52" t="str" cm="1">
        <f t="array" ref="T13">IFERROR(Count_Tbl[[#This Row],[White Non-Latinx]]/Tot_WN_Latinx, " ")</f>
        <v xml:space="preserve"> </v>
      </c>
      <c r="U13" s="52" t="str" cm="1">
        <f t="array" ref="U13">IFERROR(Count_Tbl[[#This Row],[White Non-Latinx Male]]/Tot_WN_Latinx_Male, " ")</f>
        <v xml:space="preserve"> </v>
      </c>
      <c r="V13" s="52" t="str" cm="1">
        <f t="array" ref="V13">IFERROR(Count_Tbl[[#This Row],[White Non-Latinx Female]]/Tot_WN_Latinx_Female, " ")</f>
        <v xml:space="preserve"> </v>
      </c>
      <c r="W13" s="170" t="str">
        <f>IFERROR(Count_Tbl[[#This Row],[Learners with Disabilities]]/Tot_Disab," ")</f>
        <v xml:space="preserve"> </v>
      </c>
      <c r="X13" s="170" t="str">
        <f>IFERROR(Count_Tbl[[#This Row],[Learners with Disabilities Male]]/Tot_Disab_Male," ")</f>
        <v xml:space="preserve"> </v>
      </c>
      <c r="Y13" s="170" t="str">
        <f>IFERROR(Count_Tbl[[#This Row],[Learners with Disabilities Female]]/Tot_Disab_Female," ")</f>
        <v xml:space="preserve"> </v>
      </c>
      <c r="Z13" s="52" t="str">
        <f>IFERROR(Count_Tbl[[#This Row],[Economically Disadvantaged]]/Tot_Econ_Disadv," ")</f>
        <v xml:space="preserve"> </v>
      </c>
      <c r="AA13" s="52" t="str">
        <f>IFERROR(Count_Tbl[[#This Row],[Economically Disadvantaged Male]]/Tot_Econ_Disadv_Male," ")</f>
        <v xml:space="preserve"> </v>
      </c>
      <c r="AB13" s="52" t="str">
        <f>IFERROR(Count_Tbl[[#This Row],[Economically Disadvantaged Female]]/Tot_Econ_Disadv_Female," ")</f>
        <v xml:space="preserve"> </v>
      </c>
      <c r="AC13" s="170" t="str">
        <f>IFERROR(Count_Tbl[[#This Row],[English Learner]]/Tot_Eng_Lang," ")</f>
        <v xml:space="preserve"> </v>
      </c>
      <c r="AD13" s="170" t="str">
        <f>IFERROR(Count_Tbl[[#This Row],[English Learner Male]]/Tot_Eng_Lang_Male," ")</f>
        <v xml:space="preserve"> </v>
      </c>
      <c r="AE13" s="170" t="str">
        <f>IFERROR(Count_Tbl[[#This Row],[English Learner Female]]/Tot_Eng_Lang_Female," ")</f>
        <v xml:space="preserve"> </v>
      </c>
      <c r="AF13" s="52" t="str">
        <f>IFERROR(Count_Tbl[[#This Row],[Migrant]]/Tot_Migrant," ")</f>
        <v xml:space="preserve"> </v>
      </c>
      <c r="AG13" s="52" t="str">
        <f>IFERROR(Count_Tbl[[#This Row],[Migrant Male]]/Tot_Migrant_Male," ")</f>
        <v xml:space="preserve"> </v>
      </c>
      <c r="AH13" s="53" t="str">
        <f>IFERROR(Count_Tbl[[#This Row],[Migrant Female]]/Tot_Migrant_Female," ")</f>
        <v xml:space="preserve"> </v>
      </c>
      <c r="AI13" s="27"/>
      <c r="AJ13" s="27"/>
      <c r="AK13" s="27"/>
      <c r="AL13" s="27"/>
      <c r="AM13" s="27"/>
      <c r="AN13" s="27"/>
      <c r="AO13" s="27"/>
      <c r="AP13" s="27"/>
      <c r="AQ13" s="27"/>
      <c r="AR13" s="27"/>
      <c r="AS13" s="27"/>
      <c r="AT13" s="27"/>
    </row>
    <row r="14" spans="1:46" ht="18" customHeight="1" x14ac:dyDescent="0.2">
      <c r="A14" s="56" t="str">
        <f>Count_Tbl[[#This Row],[Column1]]</f>
        <v>HWHD Wages</v>
      </c>
      <c r="B14" s="173" t="str">
        <f>IFERROR(Count_Tbl[[#This Row],[Total Population for Each Indicator]]/Tot_Student_Pop," ")</f>
        <v xml:space="preserve"> </v>
      </c>
      <c r="C14" s="52" t="str">
        <f>IFERROR(Count_Tbl[[#This Row],[Male]]/Tot_Male," ")</f>
        <v xml:space="preserve"> </v>
      </c>
      <c r="D14" s="52" t="str">
        <f>IFERROR(Count_Tbl[[#This Row],[Female]]/Tot_Female," ")</f>
        <v xml:space="preserve"> </v>
      </c>
      <c r="E14" s="170" t="str">
        <f>IFERROR(Count_Tbl[[#This Row],[Asian or Pacific Islander]]/Tot_API," ")</f>
        <v xml:space="preserve"> </v>
      </c>
      <c r="F14" s="170" t="str">
        <f>IFERROR(Count_Tbl[[#This Row],[Asian or Pacific Islander Male]]/Tot_API_Male," ")</f>
        <v xml:space="preserve"> </v>
      </c>
      <c r="G14" s="170" t="str">
        <f>IFERROR(Count_Tbl[[#This Row],[Asian or Pacific Islander Female]]/Tot_API_Female," ")</f>
        <v xml:space="preserve"> </v>
      </c>
      <c r="H14" s="52" t="str">
        <f>IFERROR(Count_Tbl[[#This Row],[Black Non-Latinx]]/Tot_BNL," ")</f>
        <v xml:space="preserve"> </v>
      </c>
      <c r="I14" s="52" t="str">
        <f>IFERROR(Count_Tbl[[#This Row],[Black Non-Latinx Male]]/Tot_BNL_Male," ")</f>
        <v xml:space="preserve"> </v>
      </c>
      <c r="J14" s="52" t="str">
        <f>IFERROR(Count_Tbl[[#This Row],[Black Non-Latinx Female]]/Tot_BNL_Female," ")</f>
        <v xml:space="preserve"> </v>
      </c>
      <c r="K14" s="170" t="str" cm="1">
        <f t="array" ref="K14">IFERROR(Count_Tbl[[#This Row],[Latinx]]/Tot_Latinx," ")</f>
        <v xml:space="preserve"> </v>
      </c>
      <c r="L14" s="170" t="str" cm="1">
        <f t="array" ref="L14">IFERROR(Count_Tbl[[#This Row],[Latinx Male]]/Tot_Latinx_Male," ")</f>
        <v xml:space="preserve"> </v>
      </c>
      <c r="M14" s="170" t="str" cm="1">
        <f t="array" ref="M14">IFERROR(Count_Tbl[[#This Row],[Latinx Female]]/Tot_Latinx_Female," ")</f>
        <v xml:space="preserve"> </v>
      </c>
      <c r="N14" s="52" t="str">
        <f>IFERROR(Count_Tbl[[#This Row],[Multiracial]]/Tot_Multiracial," ")</f>
        <v xml:space="preserve"> </v>
      </c>
      <c r="O14" s="52" t="str">
        <f>IFERROR(Count_Tbl[[#This Row],[Multiracial Male]]/Tot_Multiracial_Male," ")</f>
        <v xml:space="preserve"> </v>
      </c>
      <c r="P14" s="52" t="str">
        <f>IFERROR(Count_Tbl[[#This Row],[Multiracial Female]]/Tot_Multiracial_Female," ")</f>
        <v xml:space="preserve"> </v>
      </c>
      <c r="Q14" s="170" t="str">
        <f>IFERROR(Count_Tbl[[#This Row],[Native American or Alaska Native]]/Tot_AIorAN," ")</f>
        <v xml:space="preserve"> </v>
      </c>
      <c r="R14" s="170" t="str">
        <f>IFERROR(Count_Tbl[[#This Row],[Native American or Alaska Native Male]]/Tot_AIorAN_Male," ")</f>
        <v xml:space="preserve"> </v>
      </c>
      <c r="S14" s="170" t="str">
        <f>IFERROR(Count_Tbl[[#This Row],[Native American or Alaska Native Female]]/Tot_AIorAN_Female," ")</f>
        <v xml:space="preserve"> </v>
      </c>
      <c r="T14" s="52" t="str" cm="1">
        <f t="array" ref="T14">IFERROR(Count_Tbl[[#This Row],[White Non-Latinx]]/Tot_WN_Latinx, " ")</f>
        <v xml:space="preserve"> </v>
      </c>
      <c r="U14" s="52" t="str" cm="1">
        <f t="array" ref="U14">IFERROR(Count_Tbl[[#This Row],[White Non-Latinx Male]]/Tot_WN_Latinx_Male, " ")</f>
        <v xml:space="preserve"> </v>
      </c>
      <c r="V14" s="52" t="str" cm="1">
        <f t="array" ref="V14">IFERROR(Count_Tbl[[#This Row],[White Non-Latinx Female]]/Tot_WN_Latinx_Female, " ")</f>
        <v xml:space="preserve"> </v>
      </c>
      <c r="W14" s="170" t="str">
        <f>IFERROR(Count_Tbl[[#This Row],[Learners with Disabilities]]/Tot_Disab," ")</f>
        <v xml:space="preserve"> </v>
      </c>
      <c r="X14" s="170" t="str">
        <f>IFERROR(Count_Tbl[[#This Row],[Learners with Disabilities Male]]/Tot_Disab_Male," ")</f>
        <v xml:space="preserve"> </v>
      </c>
      <c r="Y14" s="170" t="str">
        <f>IFERROR(Count_Tbl[[#This Row],[Learners with Disabilities Female]]/Tot_Disab_Female," ")</f>
        <v xml:space="preserve"> </v>
      </c>
      <c r="Z14" s="52" t="str">
        <f>IFERROR(Count_Tbl[[#This Row],[Economically Disadvantaged]]/Tot_Econ_Disadv," ")</f>
        <v xml:space="preserve"> </v>
      </c>
      <c r="AA14" s="52" t="str">
        <f>IFERROR(Count_Tbl[[#This Row],[Economically Disadvantaged Male]]/Tot_Econ_Disadv_Male," ")</f>
        <v xml:space="preserve"> </v>
      </c>
      <c r="AB14" s="52" t="str">
        <f>IFERROR(Count_Tbl[[#This Row],[Economically Disadvantaged Female]]/Tot_Econ_Disadv_Female," ")</f>
        <v xml:space="preserve"> </v>
      </c>
      <c r="AC14" s="170" t="str">
        <f>IFERROR(Count_Tbl[[#This Row],[English Learner]]/Tot_Eng_Lang," ")</f>
        <v xml:space="preserve"> </v>
      </c>
      <c r="AD14" s="170" t="str">
        <f>IFERROR(Count_Tbl[[#This Row],[English Learner Male]]/Tot_Eng_Lang_Male," ")</f>
        <v xml:space="preserve"> </v>
      </c>
      <c r="AE14" s="170" t="str">
        <f>IFERROR(Count_Tbl[[#This Row],[English Learner Female]]/Tot_Eng_Lang_Female," ")</f>
        <v xml:space="preserve"> </v>
      </c>
      <c r="AF14" s="52" t="str">
        <f>IFERROR(Count_Tbl[[#This Row],[Migrant]]/Tot_Migrant," ")</f>
        <v xml:space="preserve"> </v>
      </c>
      <c r="AG14" s="52" t="str">
        <f>IFERROR(Count_Tbl[[#This Row],[Migrant Male]]/Tot_Migrant_Male," ")</f>
        <v xml:space="preserve"> </v>
      </c>
      <c r="AH14" s="53" t="str">
        <f>IFERROR(Count_Tbl[[#This Row],[Migrant Female]]/Tot_Migrant_Female," ")</f>
        <v xml:space="preserve"> </v>
      </c>
      <c r="AI14" s="27"/>
      <c r="AJ14" s="27"/>
      <c r="AK14" s="27"/>
      <c r="AL14" s="27"/>
      <c r="AM14" s="27"/>
      <c r="AN14" s="27"/>
      <c r="AO14" s="27"/>
      <c r="AP14" s="27"/>
      <c r="AQ14" s="27"/>
      <c r="AR14" s="27"/>
      <c r="AS14" s="27"/>
      <c r="AT14" s="27"/>
    </row>
    <row r="15" spans="1:46" ht="14.25" customHeight="1" x14ac:dyDescent="0.1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row>
    <row r="16" spans="1:46" ht="14" x14ac:dyDescent="0.15">
      <c r="A16" s="54"/>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row>
    <row r="17" spans="1:46" ht="14.25" customHeight="1" x14ac:dyDescent="0.15">
      <c r="A17" s="27"/>
      <c r="B17" s="27"/>
      <c r="C17" s="55"/>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row>
    <row r="18" spans="1:46" ht="14" x14ac:dyDescent="0.15">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row>
    <row r="19" spans="1:46" ht="14.25" customHeight="1" x14ac:dyDescent="0.1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row>
    <row r="20" spans="1:46" ht="14.25" customHeight="1" x14ac:dyDescent="0.1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row>
    <row r="21" spans="1:46" ht="14.25" customHeight="1" x14ac:dyDescent="0.1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row>
    <row r="22" spans="1:46" ht="14.25" customHeight="1" x14ac:dyDescent="0.1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row>
    <row r="23" spans="1:46" ht="14.25" customHeight="1" x14ac:dyDescent="0.1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row>
    <row r="24" spans="1:46" ht="14.25" customHeight="1" x14ac:dyDescent="0.1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row>
    <row r="25" spans="1:46" ht="14.25" customHeight="1" x14ac:dyDescent="0.1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row>
    <row r="26" spans="1:46" ht="14.25" customHeight="1" x14ac:dyDescent="0.1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row>
    <row r="27" spans="1:46" ht="14.25" customHeight="1" x14ac:dyDescent="0.1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row>
    <row r="28" spans="1:46" ht="14.25" customHeight="1" x14ac:dyDescent="0.1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row>
    <row r="29" spans="1:46" ht="14.25" customHeight="1" x14ac:dyDescent="0.1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row>
    <row r="30" spans="1:46" ht="14.25" customHeight="1" x14ac:dyDescent="0.1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row>
    <row r="31" spans="1:46" ht="14.25" customHeight="1" x14ac:dyDescent="0.1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row>
    <row r="32" spans="1:46" ht="14.25" customHeight="1" x14ac:dyDescent="0.1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row>
    <row r="33" spans="1:46" ht="14.25" customHeight="1"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row>
    <row r="34" spans="1:46" ht="14.25" customHeight="1"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row>
    <row r="35" spans="1:46" ht="14.25" customHeight="1"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row>
    <row r="36" spans="1:46" ht="14.25" customHeight="1"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row>
    <row r="37" spans="1:46" ht="14.25" customHeight="1"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row>
    <row r="38" spans="1:46" ht="14.25" customHeight="1"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row>
    <row r="39" spans="1:46" ht="14.25" customHeight="1"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row>
    <row r="40" spans="1:46" ht="14.25" customHeight="1"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row>
    <row r="41" spans="1:46" ht="14.25" customHeight="1"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row>
    <row r="42" spans="1:46" ht="14.25" customHeight="1"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4.25" customHeight="1"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ht="14.25" customHeight="1"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ht="14.25" customHeight="1"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row>
    <row r="46" spans="1:46" ht="14.25" customHeight="1"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ht="14.25" customHeight="1"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14.25" customHeight="1"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14.25" customHeight="1"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row>
    <row r="50" spans="1:46" ht="14.25" customHeight="1"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row>
    <row r="51" spans="1:46" ht="14.25" customHeight="1"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row>
    <row r="52" spans="1:46" ht="14.25" customHeight="1"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row>
    <row r="53" spans="1:46" ht="14.25" customHeight="1"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row>
    <row r="54" spans="1:46" ht="14.25" customHeight="1"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row>
    <row r="55" spans="1:46" ht="14.25" customHeight="1"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row>
    <row r="56" spans="1:46" ht="14.25" customHeight="1"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row>
    <row r="57" spans="1:46" ht="14.25" customHeight="1"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row>
    <row r="58" spans="1:46" ht="14.25" customHeight="1"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row>
    <row r="59" spans="1:46" ht="14.25" customHeight="1"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14.25" customHeight="1"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14.25" customHeight="1"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14.25" customHeight="1" x14ac:dyDescent="0.1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14.25" customHeight="1" x14ac:dyDescent="0.1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14.25" customHeight="1" x14ac:dyDescent="0.1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14.25" customHeight="1" x14ac:dyDescent="0.1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row>
    <row r="66" spans="1:46" ht="14.25" customHeight="1" x14ac:dyDescent="0.1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row>
    <row r="67" spans="1:46" ht="14.25" customHeight="1" x14ac:dyDescent="0.1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row>
    <row r="68" spans="1:46" ht="14.25" customHeight="1" x14ac:dyDescent="0.1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row>
    <row r="69" spans="1:46" ht="14.25" customHeight="1" x14ac:dyDescent="0.1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row>
    <row r="70" spans="1:46" ht="14.25" customHeight="1" x14ac:dyDescent="0.1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row>
    <row r="71" spans="1:46" ht="14.25" customHeight="1" x14ac:dyDescent="0.1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row>
    <row r="72" spans="1:46" ht="14.25" customHeight="1" x14ac:dyDescent="0.1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14.25" customHeight="1" x14ac:dyDescent="0.1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4.25" customHeight="1" x14ac:dyDescent="0.1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14.25" customHeight="1" x14ac:dyDescent="0.1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14.25" customHeight="1" x14ac:dyDescent="0.1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14.25" customHeight="1" x14ac:dyDescent="0.1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14.25" customHeight="1" x14ac:dyDescent="0.1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row>
    <row r="79" spans="1:46" ht="14.25" customHeight="1" x14ac:dyDescent="0.1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14.25" customHeight="1" x14ac:dyDescent="0.1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14.25" customHeight="1" x14ac:dyDescent="0.1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14.25" customHeight="1" x14ac:dyDescent="0.1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14.25" customHeight="1" x14ac:dyDescent="0.1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14.25" customHeight="1" x14ac:dyDescent="0.1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14.25" customHeight="1" x14ac:dyDescent="0.1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4.25" customHeight="1" x14ac:dyDescent="0.1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14.25" customHeight="1" x14ac:dyDescent="0.1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4.25" customHeight="1" x14ac:dyDescent="0.1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14.25" customHeight="1" x14ac:dyDescent="0.1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4.25" customHeight="1" x14ac:dyDescent="0.1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14.25" customHeight="1" x14ac:dyDescent="0.1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4.25" customHeight="1" x14ac:dyDescent="0.1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4.25" customHeight="1" x14ac:dyDescent="0.1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4.25" customHeight="1" x14ac:dyDescent="0.1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4.25" customHeight="1" x14ac:dyDescent="0.1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4.25" customHeight="1" x14ac:dyDescent="0.1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4.25" customHeight="1" x14ac:dyDescent="0.1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4.25" customHeight="1" x14ac:dyDescent="0.1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14.25" customHeight="1" x14ac:dyDescent="0.1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4.25" customHeight="1" x14ac:dyDescent="0.1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14.25" customHeight="1" x14ac:dyDescent="0.1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4.25" customHeight="1" x14ac:dyDescent="0.1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4.25" customHeight="1" x14ac:dyDescent="0.1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4.25" customHeight="1" x14ac:dyDescent="0.1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4.25" customHeight="1" x14ac:dyDescent="0.1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4.25" customHeight="1" x14ac:dyDescent="0.1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4.25" customHeight="1" x14ac:dyDescent="0.1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4.25" customHeight="1" x14ac:dyDescent="0.1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4.25" customHeight="1" x14ac:dyDescent="0.1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4.25" customHeight="1" x14ac:dyDescent="0.1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4.25" customHeight="1" x14ac:dyDescent="0.1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4.25" customHeight="1" x14ac:dyDescent="0.1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4.25" customHeight="1" x14ac:dyDescent="0.1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4.25" customHeight="1" x14ac:dyDescent="0.1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4.25" customHeight="1" x14ac:dyDescent="0.1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4.25" customHeight="1" x14ac:dyDescent="0.1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4.25" customHeight="1" x14ac:dyDescent="0.1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4.25" customHeight="1" x14ac:dyDescent="0.1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4.25" customHeight="1" x14ac:dyDescent="0.1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4.25" customHeight="1" x14ac:dyDescent="0.1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4.25" customHeight="1" x14ac:dyDescent="0.1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4.25" customHeight="1" x14ac:dyDescent="0.1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4.25" customHeight="1" x14ac:dyDescent="0.1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4.25" customHeight="1" x14ac:dyDescent="0.1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4.25" customHeight="1" x14ac:dyDescent="0.1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4.25" customHeight="1" x14ac:dyDescent="0.1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4.25" customHeight="1" x14ac:dyDescent="0.1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4.25" customHeight="1" x14ac:dyDescent="0.1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4.25" customHeight="1" x14ac:dyDescent="0.1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4.25" customHeight="1" x14ac:dyDescent="0.1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4.25" customHeight="1" x14ac:dyDescent="0.1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4.25" customHeight="1" x14ac:dyDescent="0.1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4.25" customHeight="1" x14ac:dyDescent="0.1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4.25" customHeight="1" x14ac:dyDescent="0.1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4.25" customHeight="1" x14ac:dyDescent="0.1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4.25" customHeight="1" x14ac:dyDescent="0.1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4.25" customHeight="1" x14ac:dyDescent="0.1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4.25" customHeight="1" x14ac:dyDescent="0.1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4.25" customHeight="1" x14ac:dyDescent="0.1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4.25" customHeight="1" x14ac:dyDescent="0.1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4.25" customHeight="1" x14ac:dyDescent="0.1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4.25" customHeight="1" x14ac:dyDescent="0.1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4.25" customHeight="1" x14ac:dyDescent="0.1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4.25" customHeight="1" x14ac:dyDescent="0.1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4.25" customHeight="1" x14ac:dyDescent="0.1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4.25" customHeight="1" x14ac:dyDescent="0.1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4.25" customHeight="1" x14ac:dyDescent="0.1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4.25" customHeight="1" x14ac:dyDescent="0.1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4.25" customHeight="1" x14ac:dyDescent="0.1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4.25" customHeight="1" x14ac:dyDescent="0.1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4.25" customHeight="1" x14ac:dyDescent="0.1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4.25" customHeight="1" x14ac:dyDescent="0.1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4.25" customHeight="1" x14ac:dyDescent="0.1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4.25" customHeight="1" x14ac:dyDescent="0.1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4.25" customHeight="1" x14ac:dyDescent="0.1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4.25" customHeight="1" x14ac:dyDescent="0.1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4.25" customHeight="1" x14ac:dyDescent="0.1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4.25" customHeight="1" x14ac:dyDescent="0.1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4.25" customHeight="1" x14ac:dyDescent="0.1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4.25" customHeight="1" x14ac:dyDescent="0.1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4.25" customHeight="1" x14ac:dyDescent="0.1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4.25" customHeight="1" x14ac:dyDescent="0.1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4.25" customHeight="1" x14ac:dyDescent="0.1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4.25" customHeight="1" x14ac:dyDescent="0.1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4.25" customHeight="1" x14ac:dyDescent="0.1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4.25" customHeight="1" x14ac:dyDescent="0.1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4.25" customHeight="1" x14ac:dyDescent="0.1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4.25" customHeight="1" x14ac:dyDescent="0.1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4.25" customHeight="1" x14ac:dyDescent="0.1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4.25" customHeight="1" x14ac:dyDescent="0.1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4.25" customHeight="1" x14ac:dyDescent="0.1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4.25" customHeight="1" x14ac:dyDescent="0.1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4.25" customHeight="1" x14ac:dyDescent="0.1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4.25" customHeight="1" x14ac:dyDescent="0.1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4.25" customHeight="1" x14ac:dyDescent="0.1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4.25" customHeight="1" x14ac:dyDescent="0.1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4.25" customHeight="1" x14ac:dyDescent="0.1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4.25" customHeight="1" x14ac:dyDescent="0.1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4.25" customHeight="1" x14ac:dyDescent="0.1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4.25" customHeight="1" x14ac:dyDescent="0.1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4.25" customHeight="1" x14ac:dyDescent="0.1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4.25" customHeight="1" x14ac:dyDescent="0.1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4.25" customHeight="1" x14ac:dyDescent="0.1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4.25" customHeight="1" x14ac:dyDescent="0.1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4.25" customHeight="1" x14ac:dyDescent="0.1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4.25" customHeight="1" x14ac:dyDescent="0.1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4.25" customHeight="1" x14ac:dyDescent="0.1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4.25" customHeight="1" x14ac:dyDescent="0.1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4.25" customHeight="1" x14ac:dyDescent="0.1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4.25" customHeight="1" x14ac:dyDescent="0.1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4.25" customHeight="1" x14ac:dyDescent="0.1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4.25" customHeight="1" x14ac:dyDescent="0.1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4.25" customHeight="1" x14ac:dyDescent="0.1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4.25" customHeight="1" x14ac:dyDescent="0.1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4.25" customHeight="1" x14ac:dyDescent="0.1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4.25" customHeight="1" x14ac:dyDescent="0.1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4.25" customHeight="1" x14ac:dyDescent="0.1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4.25" customHeight="1" x14ac:dyDescent="0.1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4.25" customHeight="1" x14ac:dyDescent="0.1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4.25" customHeight="1" x14ac:dyDescent="0.1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4.25" customHeight="1" x14ac:dyDescent="0.1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4.25" customHeight="1" x14ac:dyDescent="0.1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4.25" customHeight="1" x14ac:dyDescent="0.1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4.25" customHeight="1" x14ac:dyDescent="0.1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4.25" customHeight="1" x14ac:dyDescent="0.1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4.25" customHeight="1" x14ac:dyDescent="0.1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4.25" customHeight="1" x14ac:dyDescent="0.1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4.25" customHeight="1" x14ac:dyDescent="0.1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4.25" customHeight="1" x14ac:dyDescent="0.1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4.25" customHeight="1" x14ac:dyDescent="0.1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4.25" customHeight="1" x14ac:dyDescent="0.1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4.25" customHeight="1" x14ac:dyDescent="0.1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4.25" customHeight="1" x14ac:dyDescent="0.1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4.25" customHeight="1" x14ac:dyDescent="0.1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4.25" customHeight="1" x14ac:dyDescent="0.1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4.25" customHeight="1" x14ac:dyDescent="0.1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4.25" customHeight="1" x14ac:dyDescent="0.1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4.25" customHeight="1" x14ac:dyDescent="0.1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row>
    <row r="219" spans="1:46" ht="15.75" customHeight="1" x14ac:dyDescent="0.15"/>
    <row r="220" spans="1:46" ht="15.75" customHeight="1" x14ac:dyDescent="0.15"/>
    <row r="221" spans="1:46" ht="15.75" customHeight="1" x14ac:dyDescent="0.15"/>
    <row r="222" spans="1:46" ht="15.75" customHeight="1" x14ac:dyDescent="0.15"/>
    <row r="223" spans="1:46" ht="15.75" customHeight="1" x14ac:dyDescent="0.15"/>
    <row r="224" spans="1:46" ht="15.75" customHeight="1" x14ac:dyDescent="0.15"/>
    <row r="225" s="8" customFormat="1" ht="15.75" customHeight="1" x14ac:dyDescent="0.15"/>
    <row r="226" s="8" customFormat="1" ht="15.75" customHeight="1" x14ac:dyDescent="0.15"/>
    <row r="227" s="8" customFormat="1" ht="15.75" customHeight="1" x14ac:dyDescent="0.15"/>
    <row r="228" s="8" customFormat="1" ht="15.75" customHeight="1" x14ac:dyDescent="0.15"/>
    <row r="229" s="8" customFormat="1" ht="15.75" customHeight="1" x14ac:dyDescent="0.15"/>
    <row r="230" s="8" customFormat="1" ht="15.75" customHeight="1" x14ac:dyDescent="0.15"/>
    <row r="231" s="8" customFormat="1" ht="15.75" customHeight="1" x14ac:dyDescent="0.15"/>
    <row r="232" s="8" customFormat="1" ht="15.75" customHeight="1" x14ac:dyDescent="0.15"/>
    <row r="233" s="8" customFormat="1" ht="15.75" customHeight="1" x14ac:dyDescent="0.15"/>
    <row r="234" s="8" customFormat="1" ht="15.75" customHeight="1" x14ac:dyDescent="0.15"/>
    <row r="235" s="8" customFormat="1" ht="15.75" customHeight="1" x14ac:dyDescent="0.15"/>
    <row r="236" s="8" customFormat="1" ht="15.75" customHeight="1" x14ac:dyDescent="0.15"/>
    <row r="237" s="8" customFormat="1" ht="15.75" customHeight="1" x14ac:dyDescent="0.15"/>
    <row r="238" s="8" customFormat="1" ht="15.75" customHeight="1" x14ac:dyDescent="0.15"/>
    <row r="239" s="8" customFormat="1" ht="15.75" customHeight="1" x14ac:dyDescent="0.15"/>
    <row r="240" s="8" customFormat="1" ht="15.75" customHeight="1" x14ac:dyDescent="0.15"/>
    <row r="241" s="8" customFormat="1" ht="15.75" customHeight="1" x14ac:dyDescent="0.15"/>
    <row r="242" s="8" customFormat="1" ht="15.75" customHeight="1" x14ac:dyDescent="0.15"/>
    <row r="243" s="8" customFormat="1" ht="15.75" customHeight="1" x14ac:dyDescent="0.15"/>
    <row r="244" s="8" customFormat="1" ht="15.75" customHeight="1" x14ac:dyDescent="0.15"/>
    <row r="245" s="8" customFormat="1" ht="15.75" customHeight="1" x14ac:dyDescent="0.15"/>
    <row r="246" s="8" customFormat="1" ht="15.75" customHeight="1" x14ac:dyDescent="0.15"/>
    <row r="247" s="8" customFormat="1" ht="15.75" customHeight="1" x14ac:dyDescent="0.15"/>
    <row r="248" s="8" customFormat="1" ht="15.75" customHeight="1" x14ac:dyDescent="0.15"/>
    <row r="249" s="8" customFormat="1" ht="15.75" customHeight="1" x14ac:dyDescent="0.15"/>
    <row r="250" s="8" customFormat="1" ht="15.75" customHeight="1" x14ac:dyDescent="0.15"/>
    <row r="251" s="8" customFormat="1" ht="15.75" customHeight="1" x14ac:dyDescent="0.15"/>
    <row r="252" s="8" customFormat="1" ht="15.75" customHeight="1" x14ac:dyDescent="0.15"/>
    <row r="253" s="8" customFormat="1" ht="15.75" customHeight="1" x14ac:dyDescent="0.15"/>
    <row r="254" s="8" customFormat="1" ht="15.75" customHeight="1" x14ac:dyDescent="0.15"/>
    <row r="255" s="8" customFormat="1" ht="15.75" customHeight="1" x14ac:dyDescent="0.15"/>
    <row r="256" s="8" customFormat="1" ht="15.75" customHeight="1" x14ac:dyDescent="0.15"/>
    <row r="257" s="8" customFormat="1" ht="15.75" customHeight="1" x14ac:dyDescent="0.15"/>
    <row r="258" s="8" customFormat="1" ht="15.75" customHeight="1" x14ac:dyDescent="0.15"/>
    <row r="259" s="8" customFormat="1" ht="15.75" customHeight="1" x14ac:dyDescent="0.15"/>
    <row r="260" s="8" customFormat="1" ht="15.75" customHeight="1" x14ac:dyDescent="0.15"/>
    <row r="261" s="8" customFormat="1" ht="15.75" customHeight="1" x14ac:dyDescent="0.15"/>
    <row r="262" s="8" customFormat="1" ht="15.75" customHeight="1" x14ac:dyDescent="0.15"/>
    <row r="263" s="8" customFormat="1" ht="15.75" customHeight="1" x14ac:dyDescent="0.15"/>
    <row r="264" s="8" customFormat="1" ht="15.75" customHeight="1" x14ac:dyDescent="0.15"/>
    <row r="265" s="8" customFormat="1" ht="15.75" customHeight="1" x14ac:dyDescent="0.15"/>
    <row r="266" s="8" customFormat="1" ht="15.75" customHeight="1" x14ac:dyDescent="0.15"/>
    <row r="267" s="8" customFormat="1" ht="15.75" customHeight="1" x14ac:dyDescent="0.15"/>
    <row r="268" s="8" customFormat="1" ht="15.75" customHeight="1" x14ac:dyDescent="0.15"/>
    <row r="269" s="8" customFormat="1" ht="15.75" customHeight="1" x14ac:dyDescent="0.15"/>
    <row r="270" s="8" customFormat="1" ht="15.75" customHeight="1" x14ac:dyDescent="0.15"/>
    <row r="271" s="8" customFormat="1" ht="15.75" customHeight="1" x14ac:dyDescent="0.15"/>
    <row r="272" s="8" customFormat="1" ht="15.75" customHeight="1" x14ac:dyDescent="0.15"/>
    <row r="273" s="8" customFormat="1" ht="15.75" customHeight="1" x14ac:dyDescent="0.15"/>
    <row r="274" s="8" customFormat="1" ht="15.75" customHeight="1" x14ac:dyDescent="0.15"/>
    <row r="275" s="8" customFormat="1" ht="15.75" customHeight="1" x14ac:dyDescent="0.15"/>
    <row r="276" s="8" customFormat="1" ht="15.75" customHeight="1" x14ac:dyDescent="0.15"/>
    <row r="277" s="8" customFormat="1" ht="15.75" customHeight="1" x14ac:dyDescent="0.15"/>
    <row r="278" s="8" customFormat="1" ht="15.75" customHeight="1" x14ac:dyDescent="0.15"/>
    <row r="279" s="8" customFormat="1" ht="15.75" customHeight="1" x14ac:dyDescent="0.15"/>
    <row r="280" s="8" customFormat="1" ht="15.75" customHeight="1" x14ac:dyDescent="0.15"/>
    <row r="281" s="8" customFormat="1" ht="15.75" customHeight="1" x14ac:dyDescent="0.15"/>
    <row r="282" s="8" customFormat="1" ht="15.75" customHeight="1" x14ac:dyDescent="0.15"/>
    <row r="283" s="8" customFormat="1" ht="15.75" customHeight="1" x14ac:dyDescent="0.15"/>
    <row r="284" s="8" customFormat="1" ht="15.75" customHeight="1" x14ac:dyDescent="0.15"/>
    <row r="285" s="8" customFormat="1" ht="15.75" customHeight="1" x14ac:dyDescent="0.15"/>
    <row r="286" s="8" customFormat="1" ht="15.75" customHeight="1" x14ac:dyDescent="0.15"/>
    <row r="287" s="8" customFormat="1" ht="15.75" customHeight="1" x14ac:dyDescent="0.15"/>
    <row r="288" s="8" customFormat="1" ht="15.75" customHeight="1" x14ac:dyDescent="0.15"/>
    <row r="289" s="8" customFormat="1" ht="15.75" customHeight="1" x14ac:dyDescent="0.15"/>
    <row r="290" s="8" customFormat="1" ht="15.75" customHeight="1" x14ac:dyDescent="0.15"/>
    <row r="291" s="8" customFormat="1" ht="15.75" customHeight="1" x14ac:dyDescent="0.15"/>
    <row r="292" s="8" customFormat="1" ht="15.75" customHeight="1" x14ac:dyDescent="0.15"/>
    <row r="293" s="8" customFormat="1" ht="15.75" customHeight="1" x14ac:dyDescent="0.15"/>
    <row r="294" s="8" customFormat="1" ht="15.75" customHeight="1" x14ac:dyDescent="0.15"/>
    <row r="295" s="8" customFormat="1" ht="15.75" customHeight="1" x14ac:dyDescent="0.15"/>
    <row r="296" s="8" customFormat="1" ht="15.75" customHeight="1" x14ac:dyDescent="0.15"/>
    <row r="297" s="8" customFormat="1" ht="15.75" customHeight="1" x14ac:dyDescent="0.15"/>
    <row r="298" s="8" customFormat="1" ht="15.75" customHeight="1" x14ac:dyDescent="0.15"/>
    <row r="299" s="8" customFormat="1" ht="15.75" customHeight="1" x14ac:dyDescent="0.15"/>
    <row r="300" s="8" customFormat="1" ht="15.75" customHeight="1" x14ac:dyDescent="0.15"/>
    <row r="301" s="8" customFormat="1" ht="15.75" customHeight="1" x14ac:dyDescent="0.15"/>
    <row r="302" s="8" customFormat="1" ht="15.75" customHeight="1" x14ac:dyDescent="0.15"/>
    <row r="303" s="8" customFormat="1" ht="15.75" customHeight="1" x14ac:dyDescent="0.15"/>
    <row r="304" s="8" customFormat="1" ht="15.75" customHeight="1" x14ac:dyDescent="0.15"/>
    <row r="305" s="8" customFormat="1" ht="15.75" customHeight="1" x14ac:dyDescent="0.15"/>
    <row r="306" s="8" customFormat="1" ht="15.75" customHeight="1" x14ac:dyDescent="0.15"/>
    <row r="307" s="8" customFormat="1" ht="15.75" customHeight="1" x14ac:dyDescent="0.15"/>
    <row r="308" s="8" customFormat="1" ht="15.75" customHeight="1" x14ac:dyDescent="0.15"/>
    <row r="309" s="8" customFormat="1" ht="15.75" customHeight="1" x14ac:dyDescent="0.15"/>
    <row r="310" s="8" customFormat="1" ht="15.75" customHeight="1" x14ac:dyDescent="0.15"/>
    <row r="311" s="8" customFormat="1" ht="15.75" customHeight="1" x14ac:dyDescent="0.15"/>
    <row r="312" s="8" customFormat="1" ht="15.75" customHeight="1" x14ac:dyDescent="0.15"/>
    <row r="313" s="8" customFormat="1" ht="15.75" customHeight="1" x14ac:dyDescent="0.15"/>
    <row r="314" s="8" customFormat="1" ht="15.75" customHeight="1" x14ac:dyDescent="0.15"/>
    <row r="315" s="8" customFormat="1" ht="15.75" customHeight="1" x14ac:dyDescent="0.15"/>
    <row r="316" s="8" customFormat="1" ht="15.75" customHeight="1" x14ac:dyDescent="0.15"/>
    <row r="317" s="8" customFormat="1" ht="15.75" customHeight="1" x14ac:dyDescent="0.15"/>
    <row r="318" s="8" customFormat="1" ht="15.75" customHeight="1" x14ac:dyDescent="0.15"/>
    <row r="319" s="8" customFormat="1" ht="15.75" customHeight="1" x14ac:dyDescent="0.15"/>
    <row r="320" s="8" customFormat="1" ht="15.75" customHeight="1" x14ac:dyDescent="0.15"/>
    <row r="321" s="8" customFormat="1" ht="15.75" customHeight="1" x14ac:dyDescent="0.15"/>
    <row r="322" s="8" customFormat="1" ht="15.75" customHeight="1" x14ac:dyDescent="0.15"/>
    <row r="323" s="8" customFormat="1" ht="15.75" customHeight="1" x14ac:dyDescent="0.15"/>
    <row r="324" s="8" customFormat="1" ht="15.75" customHeight="1" x14ac:dyDescent="0.15"/>
    <row r="325" s="8" customFormat="1" ht="15.75" customHeight="1" x14ac:dyDescent="0.15"/>
    <row r="326" s="8" customFormat="1" ht="15.75" customHeight="1" x14ac:dyDescent="0.15"/>
    <row r="327" s="8" customFormat="1" ht="15.75" customHeight="1" x14ac:dyDescent="0.15"/>
    <row r="328" s="8" customFormat="1" ht="15.75" customHeight="1" x14ac:dyDescent="0.15"/>
    <row r="329" s="8" customFormat="1" ht="15.75" customHeight="1" x14ac:dyDescent="0.15"/>
    <row r="330" s="8" customFormat="1" ht="15.75" customHeight="1" x14ac:dyDescent="0.15"/>
    <row r="331" s="8" customFormat="1" ht="15.75" customHeight="1" x14ac:dyDescent="0.15"/>
    <row r="332" s="8" customFormat="1" ht="15.75" customHeight="1" x14ac:dyDescent="0.15"/>
    <row r="333" s="8" customFormat="1" ht="15.75" customHeight="1" x14ac:dyDescent="0.15"/>
    <row r="334" s="8" customFormat="1" ht="15.75" customHeight="1" x14ac:dyDescent="0.15"/>
    <row r="335" s="8" customFormat="1" ht="15.75" customHeight="1" x14ac:dyDescent="0.15"/>
    <row r="336" s="8" customFormat="1" ht="15.75" customHeight="1" x14ac:dyDescent="0.15"/>
    <row r="337" s="8" customFormat="1" ht="15.75" customHeight="1" x14ac:dyDescent="0.15"/>
    <row r="338" s="8" customFormat="1" ht="15.75" customHeight="1" x14ac:dyDescent="0.15"/>
    <row r="339" s="8" customFormat="1" ht="15.75" customHeight="1" x14ac:dyDescent="0.15"/>
    <row r="340" s="8" customFormat="1" ht="15.75" customHeight="1" x14ac:dyDescent="0.15"/>
    <row r="341" s="8" customFormat="1" ht="15.75" customHeight="1" x14ac:dyDescent="0.15"/>
    <row r="342" s="8" customFormat="1" ht="15.75" customHeight="1" x14ac:dyDescent="0.15"/>
    <row r="343" s="8" customFormat="1" ht="15.75" customHeight="1" x14ac:dyDescent="0.15"/>
    <row r="344" s="8" customFormat="1" ht="15.75" customHeight="1" x14ac:dyDescent="0.15"/>
    <row r="345" s="8" customFormat="1" ht="15.75" customHeight="1" x14ac:dyDescent="0.15"/>
    <row r="346" s="8" customFormat="1" ht="15.75" customHeight="1" x14ac:dyDescent="0.15"/>
    <row r="347" s="8" customFormat="1" ht="15.75" customHeight="1" x14ac:dyDescent="0.15"/>
    <row r="348" s="8" customFormat="1" ht="15.75" customHeight="1" x14ac:dyDescent="0.15"/>
    <row r="349" s="8" customFormat="1" ht="15.75" customHeight="1" x14ac:dyDescent="0.15"/>
    <row r="350" s="8" customFormat="1" ht="15.75" customHeight="1" x14ac:dyDescent="0.15"/>
    <row r="351" s="8" customFormat="1" ht="15.75" customHeight="1" x14ac:dyDescent="0.15"/>
    <row r="352" s="8" customFormat="1" ht="15.75" customHeight="1" x14ac:dyDescent="0.15"/>
    <row r="353" s="8" customFormat="1" ht="15.75" customHeight="1" x14ac:dyDescent="0.15"/>
    <row r="354" s="8" customFormat="1" ht="15.75" customHeight="1" x14ac:dyDescent="0.15"/>
    <row r="355" s="8" customFormat="1" ht="15.75" customHeight="1" x14ac:dyDescent="0.15"/>
    <row r="356" s="8" customFormat="1" ht="15.75" customHeight="1" x14ac:dyDescent="0.15"/>
    <row r="357" s="8" customFormat="1" ht="15.75" customHeight="1" x14ac:dyDescent="0.15"/>
    <row r="358" s="8" customFormat="1" ht="15.75" customHeight="1" x14ac:dyDescent="0.15"/>
    <row r="359" s="8" customFormat="1" ht="15.75" customHeight="1" x14ac:dyDescent="0.15"/>
    <row r="360" s="8" customFormat="1" ht="15.75" customHeight="1" x14ac:dyDescent="0.15"/>
    <row r="361" s="8" customFormat="1" ht="15.75" customHeight="1" x14ac:dyDescent="0.15"/>
    <row r="362" s="8" customFormat="1" ht="15.75" customHeight="1" x14ac:dyDescent="0.15"/>
    <row r="363" s="8" customFormat="1" ht="15.75" customHeight="1" x14ac:dyDescent="0.15"/>
    <row r="364" s="8" customFormat="1" ht="15.75" customHeight="1" x14ac:dyDescent="0.15"/>
    <row r="365" s="8" customFormat="1" ht="15.75" customHeight="1" x14ac:dyDescent="0.15"/>
    <row r="366" s="8" customFormat="1" ht="15.75" customHeight="1" x14ac:dyDescent="0.15"/>
    <row r="367" s="8" customFormat="1" ht="15.75" customHeight="1" x14ac:dyDescent="0.15"/>
    <row r="368" s="8" customFormat="1" ht="15.75" customHeight="1" x14ac:dyDescent="0.15"/>
    <row r="369" s="8" customFormat="1" ht="15.75" customHeight="1" x14ac:dyDescent="0.15"/>
    <row r="370" s="8" customFormat="1" ht="15.75" customHeight="1" x14ac:dyDescent="0.15"/>
    <row r="371" s="8" customFormat="1" ht="15.75" customHeight="1" x14ac:dyDescent="0.15"/>
    <row r="372" s="8" customFormat="1" ht="15.75" customHeight="1" x14ac:dyDescent="0.15"/>
    <row r="373" s="8" customFormat="1" ht="15.75" customHeight="1" x14ac:dyDescent="0.15"/>
    <row r="374" s="8" customFormat="1" ht="15.75" customHeight="1" x14ac:dyDescent="0.15"/>
    <row r="375" s="8" customFormat="1" ht="15.75" customHeight="1" x14ac:dyDescent="0.15"/>
    <row r="376" s="8" customFormat="1" ht="15.75" customHeight="1" x14ac:dyDescent="0.15"/>
    <row r="377" s="8" customFormat="1" ht="15.75" customHeight="1" x14ac:dyDescent="0.15"/>
    <row r="378" s="8" customFormat="1" ht="15.75" customHeight="1" x14ac:dyDescent="0.15"/>
    <row r="379" s="8" customFormat="1" ht="15.75" customHeight="1" x14ac:dyDescent="0.15"/>
    <row r="380" s="8" customFormat="1" ht="15.75" customHeight="1" x14ac:dyDescent="0.15"/>
    <row r="381" s="8" customFormat="1" ht="15.75" customHeight="1" x14ac:dyDescent="0.15"/>
    <row r="382" s="8" customFormat="1" ht="15.75" customHeight="1" x14ac:dyDescent="0.15"/>
    <row r="383" s="8" customFormat="1" ht="15.75" customHeight="1" x14ac:dyDescent="0.15"/>
    <row r="384" s="8" customFormat="1" ht="15.75" customHeight="1" x14ac:dyDescent="0.15"/>
    <row r="385" s="8" customFormat="1" ht="15.75" customHeight="1" x14ac:dyDescent="0.15"/>
    <row r="386" s="8" customFormat="1" ht="15.75" customHeight="1" x14ac:dyDescent="0.15"/>
    <row r="387" s="8" customFormat="1" ht="15.75" customHeight="1" x14ac:dyDescent="0.15"/>
    <row r="388" s="8" customFormat="1" ht="15.75" customHeight="1" x14ac:dyDescent="0.15"/>
    <row r="389" s="8" customFormat="1" ht="15.75" customHeight="1" x14ac:dyDescent="0.15"/>
    <row r="390" s="8" customFormat="1" ht="15.75" customHeight="1" x14ac:dyDescent="0.15"/>
    <row r="391" s="8" customFormat="1" ht="15.75" customHeight="1" x14ac:dyDescent="0.15"/>
    <row r="392" s="8" customFormat="1" ht="15.75" customHeight="1" x14ac:dyDescent="0.15"/>
    <row r="393" s="8" customFormat="1" ht="15.75" customHeight="1" x14ac:dyDescent="0.15"/>
    <row r="394" s="8" customFormat="1" ht="15.75" customHeight="1" x14ac:dyDescent="0.15"/>
    <row r="395" s="8" customFormat="1" ht="15.75" customHeight="1" x14ac:dyDescent="0.15"/>
    <row r="396" s="8" customFormat="1" ht="15.75" customHeight="1" x14ac:dyDescent="0.15"/>
    <row r="397" s="8" customFormat="1" ht="15.75" customHeight="1" x14ac:dyDescent="0.15"/>
    <row r="398" s="8" customFormat="1" ht="15.75" customHeight="1" x14ac:dyDescent="0.15"/>
    <row r="399" s="8" customFormat="1" ht="15.75" customHeight="1" x14ac:dyDescent="0.15"/>
    <row r="400" s="8" customFormat="1" ht="15.75" customHeight="1" x14ac:dyDescent="0.15"/>
    <row r="401" s="8" customFormat="1" ht="15.75" customHeight="1" x14ac:dyDescent="0.15"/>
    <row r="402" s="8" customFormat="1" ht="15.75" customHeight="1" x14ac:dyDescent="0.15"/>
    <row r="403" s="8" customFormat="1" ht="15.75" customHeight="1" x14ac:dyDescent="0.15"/>
    <row r="404" s="8" customFormat="1" ht="15.75" customHeight="1" x14ac:dyDescent="0.15"/>
    <row r="405" s="8" customFormat="1" ht="15.75" customHeight="1" x14ac:dyDescent="0.15"/>
    <row r="406" s="8" customFormat="1" ht="15.75" customHeight="1" x14ac:dyDescent="0.15"/>
    <row r="407" s="8" customFormat="1" ht="15.75" customHeight="1" x14ac:dyDescent="0.15"/>
    <row r="408" s="8" customFormat="1" ht="15.75" customHeight="1" x14ac:dyDescent="0.15"/>
    <row r="409" s="8" customFormat="1" ht="15.75" customHeight="1" x14ac:dyDescent="0.15"/>
    <row r="410" s="8" customFormat="1" ht="15.75" customHeight="1" x14ac:dyDescent="0.15"/>
    <row r="411" s="8" customFormat="1" ht="15.75" customHeight="1" x14ac:dyDescent="0.15"/>
    <row r="412" s="8" customFormat="1" ht="15.75" customHeight="1" x14ac:dyDescent="0.15"/>
    <row r="413" s="8" customFormat="1" ht="15.75" customHeight="1" x14ac:dyDescent="0.15"/>
    <row r="414" s="8" customFormat="1" ht="15.75" customHeight="1" x14ac:dyDescent="0.15"/>
    <row r="415" s="8" customFormat="1" ht="15.75" customHeight="1" x14ac:dyDescent="0.15"/>
    <row r="416" s="8" customFormat="1" ht="15.75" customHeight="1" x14ac:dyDescent="0.15"/>
    <row r="417" s="8" customFormat="1" ht="15.75" customHeight="1" x14ac:dyDescent="0.15"/>
    <row r="418" s="8" customFormat="1" ht="15.75" customHeight="1" x14ac:dyDescent="0.15"/>
    <row r="419" s="8" customFormat="1" ht="15.75" customHeight="1" x14ac:dyDescent="0.15"/>
    <row r="420" s="8" customFormat="1" ht="15.75" customHeight="1" x14ac:dyDescent="0.15"/>
    <row r="421" s="8" customFormat="1" ht="15.75" customHeight="1" x14ac:dyDescent="0.15"/>
    <row r="422" s="8" customFormat="1" ht="15.75" customHeight="1" x14ac:dyDescent="0.15"/>
    <row r="423" s="8" customFormat="1" ht="15.75" customHeight="1" x14ac:dyDescent="0.15"/>
    <row r="424" s="8" customFormat="1" ht="15.75" customHeight="1" x14ac:dyDescent="0.15"/>
    <row r="425" s="8" customFormat="1" ht="15.75" customHeight="1" x14ac:dyDescent="0.15"/>
    <row r="426" s="8" customFormat="1" ht="15.75" customHeight="1" x14ac:dyDescent="0.15"/>
    <row r="427" s="8" customFormat="1" ht="15.75" customHeight="1" x14ac:dyDescent="0.15"/>
    <row r="428" s="8" customFormat="1" ht="15.75" customHeight="1" x14ac:dyDescent="0.15"/>
    <row r="429" s="8" customFormat="1" ht="15.75" customHeight="1" x14ac:dyDescent="0.15"/>
    <row r="430" s="8" customFormat="1" ht="15.75" customHeight="1" x14ac:dyDescent="0.15"/>
    <row r="431" s="8" customFormat="1" ht="15.75" customHeight="1" x14ac:dyDescent="0.15"/>
    <row r="432" s="8" customFormat="1" ht="15.75" customHeight="1" x14ac:dyDescent="0.15"/>
    <row r="433" s="8" customFormat="1" ht="15.75" customHeight="1" x14ac:dyDescent="0.15"/>
    <row r="434" s="8" customFormat="1" ht="15.75" customHeight="1" x14ac:dyDescent="0.15"/>
    <row r="435" s="8" customFormat="1" ht="15.75" customHeight="1" x14ac:dyDescent="0.15"/>
    <row r="436" s="8" customFormat="1" ht="15.75" customHeight="1" x14ac:dyDescent="0.15"/>
    <row r="437" s="8" customFormat="1" ht="15.75" customHeight="1" x14ac:dyDescent="0.15"/>
    <row r="438" s="8" customFormat="1" ht="15.75" customHeight="1" x14ac:dyDescent="0.15"/>
    <row r="439" s="8" customFormat="1" ht="15.75" customHeight="1" x14ac:dyDescent="0.15"/>
    <row r="440" s="8" customFormat="1" ht="15.75" customHeight="1" x14ac:dyDescent="0.15"/>
    <row r="441" s="8" customFormat="1" ht="15.75" customHeight="1" x14ac:dyDescent="0.15"/>
    <row r="442" s="8" customFormat="1" ht="15.75" customHeight="1" x14ac:dyDescent="0.15"/>
    <row r="443" s="8" customFormat="1" ht="15.75" customHeight="1" x14ac:dyDescent="0.15"/>
    <row r="444" s="8" customFormat="1" ht="15.75" customHeight="1" x14ac:dyDescent="0.15"/>
    <row r="445" s="8" customFormat="1" ht="15.75" customHeight="1" x14ac:dyDescent="0.15"/>
    <row r="446" s="8" customFormat="1" ht="15.75" customHeight="1" x14ac:dyDescent="0.15"/>
    <row r="447" s="8" customFormat="1" ht="15.75" customHeight="1" x14ac:dyDescent="0.15"/>
    <row r="448" s="8" customFormat="1" ht="15.75" customHeight="1" x14ac:dyDescent="0.15"/>
    <row r="449" s="8" customFormat="1" ht="15.75" customHeight="1" x14ac:dyDescent="0.15"/>
    <row r="450" s="8" customFormat="1" ht="15.75" customHeight="1" x14ac:dyDescent="0.15"/>
    <row r="451" s="8" customFormat="1" ht="15.75" customHeight="1" x14ac:dyDescent="0.15"/>
    <row r="452" s="8" customFormat="1" ht="15.75" customHeight="1" x14ac:dyDescent="0.15"/>
    <row r="453" s="8" customFormat="1" ht="15.75" customHeight="1" x14ac:dyDescent="0.15"/>
    <row r="454" s="8" customFormat="1" ht="15.75" customHeight="1" x14ac:dyDescent="0.15"/>
    <row r="455" s="8" customFormat="1" ht="15.75" customHeight="1" x14ac:dyDescent="0.15"/>
    <row r="456" s="8" customFormat="1" ht="15.75" customHeight="1" x14ac:dyDescent="0.15"/>
    <row r="457" s="8" customFormat="1" ht="15.75" customHeight="1" x14ac:dyDescent="0.15"/>
    <row r="458" s="8" customFormat="1" ht="15.75" customHeight="1" x14ac:dyDescent="0.15"/>
    <row r="459" s="8" customFormat="1" ht="15.75" customHeight="1" x14ac:dyDescent="0.15"/>
    <row r="460" s="8" customFormat="1" ht="15.75" customHeight="1" x14ac:dyDescent="0.15"/>
    <row r="461" s="8" customFormat="1" ht="15.75" customHeight="1" x14ac:dyDescent="0.15"/>
    <row r="462" s="8" customFormat="1" ht="15.75" customHeight="1" x14ac:dyDescent="0.15"/>
    <row r="463" s="8" customFormat="1" ht="15.75" customHeight="1" x14ac:dyDescent="0.15"/>
    <row r="464" s="8" customFormat="1" ht="15.75" customHeight="1" x14ac:dyDescent="0.15"/>
    <row r="465" s="8" customFormat="1" ht="15.75" customHeight="1" x14ac:dyDescent="0.15"/>
    <row r="466" s="8" customFormat="1" ht="15.75" customHeight="1" x14ac:dyDescent="0.15"/>
    <row r="467" s="8" customFormat="1" ht="15.75" customHeight="1" x14ac:dyDescent="0.15"/>
    <row r="468" s="8" customFormat="1" ht="15.75" customHeight="1" x14ac:dyDescent="0.15"/>
    <row r="469" s="8" customFormat="1" ht="15.75" customHeight="1" x14ac:dyDescent="0.15"/>
    <row r="470" s="8" customFormat="1" ht="15.75" customHeight="1" x14ac:dyDescent="0.15"/>
    <row r="471" s="8" customFormat="1" ht="15.75" customHeight="1" x14ac:dyDescent="0.15"/>
    <row r="472" s="8" customFormat="1" ht="15.75" customHeight="1" x14ac:dyDescent="0.15"/>
    <row r="473" s="8" customFormat="1" ht="15.75" customHeight="1" x14ac:dyDescent="0.15"/>
    <row r="474" s="8" customFormat="1" ht="15.75" customHeight="1" x14ac:dyDescent="0.15"/>
    <row r="475" s="8" customFormat="1" ht="15.75" customHeight="1" x14ac:dyDescent="0.15"/>
    <row r="476" s="8" customFormat="1" ht="15.75" customHeight="1" x14ac:dyDescent="0.15"/>
    <row r="477" s="8" customFormat="1" ht="15.75" customHeight="1" x14ac:dyDescent="0.15"/>
    <row r="478" s="8" customFormat="1" ht="15.75" customHeight="1" x14ac:dyDescent="0.15"/>
    <row r="479" s="8" customFormat="1" ht="15.75" customHeight="1" x14ac:dyDescent="0.15"/>
    <row r="480" s="8" customFormat="1" ht="15.75" customHeight="1" x14ac:dyDescent="0.15"/>
    <row r="481" s="8" customFormat="1" ht="15.75" customHeight="1" x14ac:dyDescent="0.15"/>
    <row r="482" s="8" customFormat="1" ht="15.75" customHeight="1" x14ac:dyDescent="0.15"/>
    <row r="483" s="8" customFormat="1" ht="15.75" customHeight="1" x14ac:dyDescent="0.15"/>
    <row r="484" s="8" customFormat="1" ht="15.75" customHeight="1" x14ac:dyDescent="0.15"/>
    <row r="485" s="8" customFormat="1" ht="15.75" customHeight="1" x14ac:dyDescent="0.15"/>
    <row r="486" s="8" customFormat="1" ht="15.75" customHeight="1" x14ac:dyDescent="0.15"/>
    <row r="487" s="8" customFormat="1" ht="15.75" customHeight="1" x14ac:dyDescent="0.15"/>
    <row r="488" s="8" customFormat="1" ht="15.75" customHeight="1" x14ac:dyDescent="0.15"/>
    <row r="489" s="8" customFormat="1" ht="15.75" customHeight="1" x14ac:dyDescent="0.15"/>
    <row r="490" s="8" customFormat="1" ht="15.75" customHeight="1" x14ac:dyDescent="0.15"/>
    <row r="491" s="8" customFormat="1" ht="15.75" customHeight="1" x14ac:dyDescent="0.15"/>
    <row r="492" s="8" customFormat="1" ht="15.75" customHeight="1" x14ac:dyDescent="0.15"/>
    <row r="493" s="8" customFormat="1" ht="15.75" customHeight="1" x14ac:dyDescent="0.15"/>
    <row r="494" s="8" customFormat="1" ht="15.75" customHeight="1" x14ac:dyDescent="0.15"/>
    <row r="495" s="8" customFormat="1" ht="15.75" customHeight="1" x14ac:dyDescent="0.15"/>
    <row r="496" s="8" customFormat="1" ht="15.75" customHeight="1" x14ac:dyDescent="0.15"/>
    <row r="497" s="8" customFormat="1" ht="15.75" customHeight="1" x14ac:dyDescent="0.15"/>
    <row r="498" s="8" customFormat="1" ht="15.75" customHeight="1" x14ac:dyDescent="0.15"/>
    <row r="499" s="8" customFormat="1" ht="15.75" customHeight="1" x14ac:dyDescent="0.15"/>
    <row r="500" s="8" customFormat="1" ht="15.75" customHeight="1" x14ac:dyDescent="0.15"/>
    <row r="501" s="8" customFormat="1" ht="15.75" customHeight="1" x14ac:dyDescent="0.15"/>
    <row r="502" s="8" customFormat="1" ht="15.75" customHeight="1" x14ac:dyDescent="0.15"/>
    <row r="503" s="8" customFormat="1" ht="15.75" customHeight="1" x14ac:dyDescent="0.15"/>
    <row r="504" s="8" customFormat="1" ht="15.75" customHeight="1" x14ac:dyDescent="0.15"/>
    <row r="505" s="8" customFormat="1" ht="15.75" customHeight="1" x14ac:dyDescent="0.15"/>
    <row r="506" s="8" customFormat="1" ht="15.75" customHeight="1" x14ac:dyDescent="0.15"/>
    <row r="507" s="8" customFormat="1" ht="15.75" customHeight="1" x14ac:dyDescent="0.15"/>
    <row r="508" s="8" customFormat="1" ht="15.75" customHeight="1" x14ac:dyDescent="0.15"/>
    <row r="509" s="8" customFormat="1" ht="15.75" customHeight="1" x14ac:dyDescent="0.15"/>
    <row r="510" s="8" customFormat="1" ht="15.75" customHeight="1" x14ac:dyDescent="0.15"/>
    <row r="511" s="8" customFormat="1" ht="15.75" customHeight="1" x14ac:dyDescent="0.15"/>
    <row r="512" s="8" customFormat="1" ht="15.75" customHeight="1" x14ac:dyDescent="0.15"/>
    <row r="513" s="8" customFormat="1" ht="15.75" customHeight="1" x14ac:dyDescent="0.15"/>
    <row r="514" s="8" customFormat="1" ht="15.75" customHeight="1" x14ac:dyDescent="0.15"/>
    <row r="515" s="8" customFormat="1" ht="15.75" customHeight="1" x14ac:dyDescent="0.15"/>
    <row r="516" s="8" customFormat="1" ht="15.75" customHeight="1" x14ac:dyDescent="0.15"/>
    <row r="517" s="8" customFormat="1" ht="15.75" customHeight="1" x14ac:dyDescent="0.15"/>
    <row r="518" s="8" customFormat="1" ht="15.75" customHeight="1" x14ac:dyDescent="0.15"/>
    <row r="519" s="8" customFormat="1" ht="15.75" customHeight="1" x14ac:dyDescent="0.15"/>
    <row r="520" s="8" customFormat="1" ht="15.75" customHeight="1" x14ac:dyDescent="0.15"/>
    <row r="521" s="8" customFormat="1" ht="15.75" customHeight="1" x14ac:dyDescent="0.15"/>
    <row r="522" s="8" customFormat="1" ht="15.75" customHeight="1" x14ac:dyDescent="0.15"/>
    <row r="523" s="8" customFormat="1" ht="15.75" customHeight="1" x14ac:dyDescent="0.15"/>
    <row r="524" s="8" customFormat="1" ht="15.75" customHeight="1" x14ac:dyDescent="0.15"/>
    <row r="525" s="8" customFormat="1" ht="15.75" customHeight="1" x14ac:dyDescent="0.15"/>
    <row r="526" s="8" customFormat="1" ht="15.75" customHeight="1" x14ac:dyDescent="0.15"/>
    <row r="527" s="8" customFormat="1" ht="15.75" customHeight="1" x14ac:dyDescent="0.15"/>
    <row r="528" s="8" customFormat="1" ht="15.75" customHeight="1" x14ac:dyDescent="0.15"/>
    <row r="529" s="8" customFormat="1" ht="15.75" customHeight="1" x14ac:dyDescent="0.15"/>
    <row r="530" s="8" customFormat="1" ht="15.75" customHeight="1" x14ac:dyDescent="0.15"/>
    <row r="531" s="8" customFormat="1" ht="15.75" customHeight="1" x14ac:dyDescent="0.15"/>
    <row r="532" s="8" customFormat="1" ht="15.75" customHeight="1" x14ac:dyDescent="0.15"/>
    <row r="533" s="8" customFormat="1" ht="15.75" customHeight="1" x14ac:dyDescent="0.15"/>
    <row r="534" s="8" customFormat="1" ht="15.75" customHeight="1" x14ac:dyDescent="0.15"/>
    <row r="535" s="8" customFormat="1" ht="15.75" customHeight="1" x14ac:dyDescent="0.15"/>
    <row r="536" s="8" customFormat="1" ht="15.75" customHeight="1" x14ac:dyDescent="0.15"/>
    <row r="537" s="8" customFormat="1" ht="15.75" customHeight="1" x14ac:dyDescent="0.15"/>
    <row r="538" s="8" customFormat="1" ht="15.75" customHeight="1" x14ac:dyDescent="0.15"/>
    <row r="539" s="8" customFormat="1" ht="15.75" customHeight="1" x14ac:dyDescent="0.15"/>
    <row r="540" s="8" customFormat="1" ht="15.75" customHeight="1" x14ac:dyDescent="0.15"/>
    <row r="541" s="8" customFormat="1" ht="15.75" customHeight="1" x14ac:dyDescent="0.15"/>
    <row r="542" s="8" customFormat="1" ht="15.75" customHeight="1" x14ac:dyDescent="0.15"/>
    <row r="543" s="8" customFormat="1" ht="15.75" customHeight="1" x14ac:dyDescent="0.15"/>
    <row r="544" s="8" customFormat="1" ht="15.75" customHeight="1" x14ac:dyDescent="0.15"/>
    <row r="545" s="8" customFormat="1" ht="15.75" customHeight="1" x14ac:dyDescent="0.15"/>
    <row r="546" s="8" customFormat="1" ht="15.75" customHeight="1" x14ac:dyDescent="0.15"/>
    <row r="547" s="8" customFormat="1" ht="15.75" customHeight="1" x14ac:dyDescent="0.15"/>
    <row r="548" s="8" customFormat="1" ht="15.75" customHeight="1" x14ac:dyDescent="0.15"/>
    <row r="549" s="8" customFormat="1" ht="15.75" customHeight="1" x14ac:dyDescent="0.15"/>
    <row r="550" s="8" customFormat="1" ht="15.75" customHeight="1" x14ac:dyDescent="0.15"/>
    <row r="551" s="8" customFormat="1" ht="15.75" customHeight="1" x14ac:dyDescent="0.15"/>
    <row r="552" s="8" customFormat="1" ht="15.75" customHeight="1" x14ac:dyDescent="0.15"/>
    <row r="553" s="8" customFormat="1" ht="15.75" customHeight="1" x14ac:dyDescent="0.15"/>
    <row r="554" s="8" customFormat="1" ht="15.75" customHeight="1" x14ac:dyDescent="0.15"/>
    <row r="555" s="8" customFormat="1" ht="15.75" customHeight="1" x14ac:dyDescent="0.15"/>
    <row r="556" s="8" customFormat="1" ht="15.75" customHeight="1" x14ac:dyDescent="0.15"/>
    <row r="557" s="8" customFormat="1" ht="15.75" customHeight="1" x14ac:dyDescent="0.15"/>
    <row r="558" s="8" customFormat="1" ht="15.75" customHeight="1" x14ac:dyDescent="0.15"/>
    <row r="559" s="8" customFormat="1" ht="15.75" customHeight="1" x14ac:dyDescent="0.15"/>
    <row r="560" s="8" customFormat="1" ht="15.75" customHeight="1" x14ac:dyDescent="0.15"/>
    <row r="561" s="8" customFormat="1" ht="15.75" customHeight="1" x14ac:dyDescent="0.15"/>
    <row r="562" s="8" customFormat="1" ht="15.75" customHeight="1" x14ac:dyDescent="0.15"/>
    <row r="563" s="8" customFormat="1" ht="15.75" customHeight="1" x14ac:dyDescent="0.15"/>
    <row r="564" s="8" customFormat="1" ht="15.75" customHeight="1" x14ac:dyDescent="0.15"/>
    <row r="565" s="8" customFormat="1" ht="15.75" customHeight="1" x14ac:dyDescent="0.15"/>
    <row r="566" s="8" customFormat="1" ht="15.75" customHeight="1" x14ac:dyDescent="0.15"/>
    <row r="567" s="8" customFormat="1" ht="15.75" customHeight="1" x14ac:dyDescent="0.15"/>
    <row r="568" s="8" customFormat="1" ht="15.75" customHeight="1" x14ac:dyDescent="0.15"/>
    <row r="569" s="8" customFormat="1" ht="15.75" customHeight="1" x14ac:dyDescent="0.15"/>
    <row r="570" s="8" customFormat="1" ht="15.75" customHeight="1" x14ac:dyDescent="0.15"/>
    <row r="571" s="8" customFormat="1" ht="15.75" customHeight="1" x14ac:dyDescent="0.15"/>
    <row r="572" s="8" customFormat="1" ht="15.75" customHeight="1" x14ac:dyDescent="0.15"/>
    <row r="573" s="8" customFormat="1" ht="15.75" customHeight="1" x14ac:dyDescent="0.15"/>
    <row r="574" s="8" customFormat="1" ht="15.75" customHeight="1" x14ac:dyDescent="0.15"/>
    <row r="575" s="8" customFormat="1" ht="15.75" customHeight="1" x14ac:dyDescent="0.15"/>
    <row r="576" s="8" customFormat="1" ht="15.75" customHeight="1" x14ac:dyDescent="0.15"/>
    <row r="577" s="8" customFormat="1" ht="15.75" customHeight="1" x14ac:dyDescent="0.15"/>
    <row r="578" s="8" customFormat="1" ht="15.75" customHeight="1" x14ac:dyDescent="0.15"/>
    <row r="579" s="8" customFormat="1" ht="15.75" customHeight="1" x14ac:dyDescent="0.15"/>
    <row r="580" s="8" customFormat="1" ht="15.75" customHeight="1" x14ac:dyDescent="0.15"/>
    <row r="581" s="8" customFormat="1" ht="15.75" customHeight="1" x14ac:dyDescent="0.15"/>
    <row r="582" s="8" customFormat="1" ht="15.75" customHeight="1" x14ac:dyDescent="0.15"/>
    <row r="583" s="8" customFormat="1" ht="15.75" customHeight="1" x14ac:dyDescent="0.15"/>
    <row r="584" s="8" customFormat="1" ht="15.75" customHeight="1" x14ac:dyDescent="0.15"/>
    <row r="585" s="8" customFormat="1" ht="15.75" customHeight="1" x14ac:dyDescent="0.15"/>
    <row r="586" s="8" customFormat="1" ht="15.75" customHeight="1" x14ac:dyDescent="0.15"/>
    <row r="587" s="8" customFormat="1" ht="15.75" customHeight="1" x14ac:dyDescent="0.15"/>
    <row r="588" s="8" customFormat="1" ht="15.75" customHeight="1" x14ac:dyDescent="0.15"/>
    <row r="589" s="8" customFormat="1" ht="15.75" customHeight="1" x14ac:dyDescent="0.15"/>
    <row r="590" s="8" customFormat="1" ht="15.75" customHeight="1" x14ac:dyDescent="0.15"/>
    <row r="591" s="8" customFormat="1" ht="15.75" customHeight="1" x14ac:dyDescent="0.15"/>
    <row r="592" s="8" customFormat="1" ht="15.75" customHeight="1" x14ac:dyDescent="0.15"/>
    <row r="593" s="8" customFormat="1" ht="15.75" customHeight="1" x14ac:dyDescent="0.15"/>
    <row r="594" s="8" customFormat="1" ht="15.75" customHeight="1" x14ac:dyDescent="0.15"/>
    <row r="595" s="8" customFormat="1" ht="15.75" customHeight="1" x14ac:dyDescent="0.15"/>
    <row r="596" s="8" customFormat="1" ht="15.75" customHeight="1" x14ac:dyDescent="0.15"/>
    <row r="597" s="8" customFormat="1" ht="15.75" customHeight="1" x14ac:dyDescent="0.15"/>
    <row r="598" s="8" customFormat="1" ht="15.75" customHeight="1" x14ac:dyDescent="0.15"/>
    <row r="599" s="8" customFormat="1" ht="15.75" customHeight="1" x14ac:dyDescent="0.15"/>
    <row r="600" s="8" customFormat="1" ht="15.75" customHeight="1" x14ac:dyDescent="0.15"/>
    <row r="601" s="8" customFormat="1" ht="15.75" customHeight="1" x14ac:dyDescent="0.15"/>
    <row r="602" s="8" customFormat="1" ht="15.75" customHeight="1" x14ac:dyDescent="0.15"/>
    <row r="603" s="8" customFormat="1" ht="15.75" customHeight="1" x14ac:dyDescent="0.15"/>
    <row r="604" s="8" customFormat="1" ht="15.75" customHeight="1" x14ac:dyDescent="0.15"/>
    <row r="605" s="8" customFormat="1" ht="15.75" customHeight="1" x14ac:dyDescent="0.15"/>
    <row r="606" s="8" customFormat="1" ht="15.75" customHeight="1" x14ac:dyDescent="0.15"/>
    <row r="607" s="8" customFormat="1" ht="15.75" customHeight="1" x14ac:dyDescent="0.15"/>
    <row r="608" s="8" customFormat="1" ht="15.75" customHeight="1" x14ac:dyDescent="0.15"/>
    <row r="609" s="8" customFormat="1" ht="15.75" customHeight="1" x14ac:dyDescent="0.15"/>
    <row r="610" s="8" customFormat="1" ht="15.75" customHeight="1" x14ac:dyDescent="0.15"/>
    <row r="611" s="8" customFormat="1" ht="15.75" customHeight="1" x14ac:dyDescent="0.15"/>
    <row r="612" s="8" customFormat="1" ht="15.75" customHeight="1" x14ac:dyDescent="0.15"/>
    <row r="613" s="8" customFormat="1" ht="15.75" customHeight="1" x14ac:dyDescent="0.15"/>
    <row r="614" s="8" customFormat="1" ht="15.75" customHeight="1" x14ac:dyDescent="0.15"/>
    <row r="615" s="8" customFormat="1" ht="15.75" customHeight="1" x14ac:dyDescent="0.15"/>
    <row r="616" s="8" customFormat="1" ht="15.75" customHeight="1" x14ac:dyDescent="0.15"/>
    <row r="617" s="8" customFormat="1" ht="15.75" customHeight="1" x14ac:dyDescent="0.15"/>
    <row r="618" s="8" customFormat="1" ht="15.75" customHeight="1" x14ac:dyDescent="0.15"/>
    <row r="619" s="8" customFormat="1" ht="15.75" customHeight="1" x14ac:dyDescent="0.15"/>
    <row r="620" s="8" customFormat="1" ht="15.75" customHeight="1" x14ac:dyDescent="0.15"/>
    <row r="621" s="8" customFormat="1" ht="15.75" customHeight="1" x14ac:dyDescent="0.15"/>
    <row r="622" s="8" customFormat="1" ht="15.75" customHeight="1" x14ac:dyDescent="0.15"/>
    <row r="623" s="8" customFormat="1" ht="15.75" customHeight="1" x14ac:dyDescent="0.15"/>
    <row r="624" s="8" customFormat="1" ht="15.75" customHeight="1" x14ac:dyDescent="0.15"/>
    <row r="625" s="8" customFormat="1" ht="15.75" customHeight="1" x14ac:dyDescent="0.15"/>
    <row r="626" s="8" customFormat="1" ht="15.75" customHeight="1" x14ac:dyDescent="0.15"/>
    <row r="627" s="8" customFormat="1" ht="15.75" customHeight="1" x14ac:dyDescent="0.15"/>
    <row r="628" s="8" customFormat="1" ht="15.75" customHeight="1" x14ac:dyDescent="0.15"/>
    <row r="629" s="8" customFormat="1" ht="15.75" customHeight="1" x14ac:dyDescent="0.15"/>
    <row r="630" s="8" customFormat="1" ht="15.75" customHeight="1" x14ac:dyDescent="0.15"/>
    <row r="631" s="8" customFormat="1" ht="15.75" customHeight="1" x14ac:dyDescent="0.15"/>
    <row r="632" s="8" customFormat="1" ht="15.75" customHeight="1" x14ac:dyDescent="0.15"/>
    <row r="633" s="8" customFormat="1" ht="15.75" customHeight="1" x14ac:dyDescent="0.15"/>
    <row r="634" s="8" customFormat="1" ht="15.75" customHeight="1" x14ac:dyDescent="0.15"/>
    <row r="635" s="8" customFormat="1" ht="15.75" customHeight="1" x14ac:dyDescent="0.15"/>
    <row r="636" s="8" customFormat="1" ht="15.75" customHeight="1" x14ac:dyDescent="0.15"/>
    <row r="637" s="8" customFormat="1" ht="15.75" customHeight="1" x14ac:dyDescent="0.15"/>
    <row r="638" s="8" customFormat="1" ht="15.75" customHeight="1" x14ac:dyDescent="0.15"/>
    <row r="639" s="8" customFormat="1" ht="15.75" customHeight="1" x14ac:dyDescent="0.15"/>
    <row r="640" s="8" customFormat="1" ht="15.75" customHeight="1" x14ac:dyDescent="0.15"/>
    <row r="641" s="8" customFormat="1" ht="15.75" customHeight="1" x14ac:dyDescent="0.15"/>
    <row r="642" s="8" customFormat="1" ht="15.75" customHeight="1" x14ac:dyDescent="0.15"/>
    <row r="643" s="8" customFormat="1" ht="15.75" customHeight="1" x14ac:dyDescent="0.15"/>
    <row r="644" s="8" customFormat="1" ht="15.75" customHeight="1" x14ac:dyDescent="0.15"/>
    <row r="645" s="8" customFormat="1" ht="15.75" customHeight="1" x14ac:dyDescent="0.15"/>
    <row r="646" s="8" customFormat="1" ht="15.75" customHeight="1" x14ac:dyDescent="0.15"/>
    <row r="647" s="8" customFormat="1" ht="15.75" customHeight="1" x14ac:dyDescent="0.15"/>
    <row r="648" s="8" customFormat="1" ht="15.75" customHeight="1" x14ac:dyDescent="0.15"/>
    <row r="649" s="8" customFormat="1" ht="15.75" customHeight="1" x14ac:dyDescent="0.15"/>
    <row r="650" s="8" customFormat="1" ht="15.75" customHeight="1" x14ac:dyDescent="0.15"/>
    <row r="651" s="8" customFormat="1" ht="15.75" customHeight="1" x14ac:dyDescent="0.15"/>
    <row r="652" s="8" customFormat="1" ht="15.75" customHeight="1" x14ac:dyDescent="0.15"/>
    <row r="653" s="8" customFormat="1" ht="15.75" customHeight="1" x14ac:dyDescent="0.15"/>
    <row r="654" s="8" customFormat="1" ht="15.75" customHeight="1" x14ac:dyDescent="0.15"/>
    <row r="655" s="8" customFormat="1" ht="15.75" customHeight="1" x14ac:dyDescent="0.15"/>
    <row r="656" s="8" customFormat="1" ht="15.75" customHeight="1" x14ac:dyDescent="0.15"/>
    <row r="657" s="8" customFormat="1" ht="15.75" customHeight="1" x14ac:dyDescent="0.15"/>
    <row r="658" s="8" customFormat="1" ht="15.75" customHeight="1" x14ac:dyDescent="0.15"/>
    <row r="659" s="8" customFormat="1" ht="15.75" customHeight="1" x14ac:dyDescent="0.15"/>
    <row r="660" s="8" customFormat="1" ht="15.75" customHeight="1" x14ac:dyDescent="0.15"/>
    <row r="661" s="8" customFormat="1" ht="15.75" customHeight="1" x14ac:dyDescent="0.15"/>
    <row r="662" s="8" customFormat="1" ht="15.75" customHeight="1" x14ac:dyDescent="0.15"/>
    <row r="663" s="8" customFormat="1" ht="15.75" customHeight="1" x14ac:dyDescent="0.15"/>
    <row r="664" s="8" customFormat="1" ht="15.75" customHeight="1" x14ac:dyDescent="0.15"/>
    <row r="665" s="8" customFormat="1" ht="15.75" customHeight="1" x14ac:dyDescent="0.15"/>
    <row r="666" s="8" customFormat="1" ht="15.75" customHeight="1" x14ac:dyDescent="0.15"/>
    <row r="667" s="8" customFormat="1" ht="15.75" customHeight="1" x14ac:dyDescent="0.15"/>
    <row r="668" s="8" customFormat="1" ht="15.75" customHeight="1" x14ac:dyDescent="0.15"/>
    <row r="669" s="8" customFormat="1" ht="15.75" customHeight="1" x14ac:dyDescent="0.15"/>
    <row r="670" s="8" customFormat="1" ht="15.75" customHeight="1" x14ac:dyDescent="0.15"/>
    <row r="671" s="8" customFormat="1" ht="15.75" customHeight="1" x14ac:dyDescent="0.15"/>
    <row r="672" s="8" customFormat="1" ht="15.75" customHeight="1" x14ac:dyDescent="0.15"/>
    <row r="673" s="8" customFormat="1" ht="15.75" customHeight="1" x14ac:dyDescent="0.15"/>
    <row r="674" s="8" customFormat="1" ht="15.75" customHeight="1" x14ac:dyDescent="0.15"/>
    <row r="675" s="8" customFormat="1" ht="15.75" customHeight="1" x14ac:dyDescent="0.15"/>
    <row r="676" s="8" customFormat="1" ht="15.75" customHeight="1" x14ac:dyDescent="0.15"/>
    <row r="677" s="8" customFormat="1" ht="15.75" customHeight="1" x14ac:dyDescent="0.15"/>
    <row r="678" s="8" customFormat="1" ht="15.75" customHeight="1" x14ac:dyDescent="0.15"/>
    <row r="679" s="8" customFormat="1" ht="15.75" customHeight="1" x14ac:dyDescent="0.15"/>
    <row r="680" s="8" customFormat="1" ht="15.75" customHeight="1" x14ac:dyDescent="0.15"/>
    <row r="681" s="8" customFormat="1" ht="15.75" customHeight="1" x14ac:dyDescent="0.15"/>
    <row r="682" s="8" customFormat="1" ht="15.75" customHeight="1" x14ac:dyDescent="0.15"/>
    <row r="683" s="8" customFormat="1" ht="15.75" customHeight="1" x14ac:dyDescent="0.15"/>
    <row r="684" s="8" customFormat="1" ht="15.75" customHeight="1" x14ac:dyDescent="0.15"/>
    <row r="685" s="8" customFormat="1" ht="15.75" customHeight="1" x14ac:dyDescent="0.15"/>
    <row r="686" s="8" customFormat="1" ht="15.75" customHeight="1" x14ac:dyDescent="0.15"/>
    <row r="687" s="8" customFormat="1" ht="15.75" customHeight="1" x14ac:dyDescent="0.15"/>
    <row r="688" s="8" customFormat="1" ht="15.75" customHeight="1" x14ac:dyDescent="0.15"/>
    <row r="689" s="8" customFormat="1" ht="15.75" customHeight="1" x14ac:dyDescent="0.15"/>
    <row r="690" s="8" customFormat="1" ht="15.75" customHeight="1" x14ac:dyDescent="0.15"/>
    <row r="691" s="8" customFormat="1" ht="15.75" customHeight="1" x14ac:dyDescent="0.15"/>
    <row r="692" s="8" customFormat="1" ht="15.75" customHeight="1" x14ac:dyDescent="0.15"/>
    <row r="693" s="8" customFormat="1" ht="15.75" customHeight="1" x14ac:dyDescent="0.15"/>
    <row r="694" s="8" customFormat="1" ht="15.75" customHeight="1" x14ac:dyDescent="0.15"/>
    <row r="695" s="8" customFormat="1" ht="15.75" customHeight="1" x14ac:dyDescent="0.15"/>
    <row r="696" s="8" customFormat="1" ht="15.75" customHeight="1" x14ac:dyDescent="0.15"/>
    <row r="697" s="8" customFormat="1" ht="15.75" customHeight="1" x14ac:dyDescent="0.15"/>
    <row r="698" s="8" customFormat="1" ht="15.75" customHeight="1" x14ac:dyDescent="0.15"/>
    <row r="699" s="8" customFormat="1" ht="15.75" customHeight="1" x14ac:dyDescent="0.15"/>
    <row r="700" s="8" customFormat="1" ht="15.75" customHeight="1" x14ac:dyDescent="0.15"/>
    <row r="701" s="8" customFormat="1" ht="15.75" customHeight="1" x14ac:dyDescent="0.15"/>
    <row r="702" s="8" customFormat="1" ht="15.75" customHeight="1" x14ac:dyDescent="0.15"/>
    <row r="703" s="8" customFormat="1" ht="15.75" customHeight="1" x14ac:dyDescent="0.15"/>
    <row r="704" s="8" customFormat="1" ht="15.75" customHeight="1" x14ac:dyDescent="0.15"/>
    <row r="705" s="8" customFormat="1" ht="15.75" customHeight="1" x14ac:dyDescent="0.15"/>
    <row r="706" s="8" customFormat="1" ht="15.75" customHeight="1" x14ac:dyDescent="0.15"/>
    <row r="707" s="8" customFormat="1" ht="15.75" customHeight="1" x14ac:dyDescent="0.15"/>
    <row r="708" s="8" customFormat="1" ht="15.75" customHeight="1" x14ac:dyDescent="0.15"/>
    <row r="709" s="8" customFormat="1" ht="15.75" customHeight="1" x14ac:dyDescent="0.15"/>
    <row r="710" s="8" customFormat="1" ht="15.75" customHeight="1" x14ac:dyDescent="0.15"/>
    <row r="711" s="8" customFormat="1" ht="15.75" customHeight="1" x14ac:dyDescent="0.15"/>
    <row r="712" s="8" customFormat="1" ht="15.75" customHeight="1" x14ac:dyDescent="0.15"/>
    <row r="713" s="8" customFormat="1" ht="15.75" customHeight="1" x14ac:dyDescent="0.15"/>
    <row r="714" s="8" customFormat="1" ht="15.75" customHeight="1" x14ac:dyDescent="0.15"/>
    <row r="715" s="8" customFormat="1" ht="15.75" customHeight="1" x14ac:dyDescent="0.15"/>
    <row r="716" s="8" customFormat="1" ht="15.75" customHeight="1" x14ac:dyDescent="0.15"/>
    <row r="717" s="8" customFormat="1" ht="15.75" customHeight="1" x14ac:dyDescent="0.15"/>
    <row r="718" s="8" customFormat="1" ht="15.75" customHeight="1" x14ac:dyDescent="0.15"/>
    <row r="719" s="8" customFormat="1" ht="15.75" customHeight="1" x14ac:dyDescent="0.15"/>
    <row r="720" s="8" customFormat="1" ht="15.75" customHeight="1" x14ac:dyDescent="0.15"/>
    <row r="721" s="8" customFormat="1" ht="15.75" customHeight="1" x14ac:dyDescent="0.15"/>
    <row r="722" s="8" customFormat="1" ht="15.75" customHeight="1" x14ac:dyDescent="0.15"/>
    <row r="723" s="8" customFormat="1" ht="15.75" customHeight="1" x14ac:dyDescent="0.15"/>
    <row r="724" s="8" customFormat="1" ht="15.75" customHeight="1" x14ac:dyDescent="0.15"/>
    <row r="725" s="8" customFormat="1" ht="15.75" customHeight="1" x14ac:dyDescent="0.15"/>
    <row r="726" s="8" customFormat="1" ht="15.75" customHeight="1" x14ac:dyDescent="0.15"/>
    <row r="727" s="8" customFormat="1" ht="15.75" customHeight="1" x14ac:dyDescent="0.15"/>
    <row r="728" s="8" customFormat="1" ht="15.75" customHeight="1" x14ac:dyDescent="0.15"/>
    <row r="729" s="8" customFormat="1" ht="15.75" customHeight="1" x14ac:dyDescent="0.15"/>
    <row r="730" s="8" customFormat="1" ht="15.75" customHeight="1" x14ac:dyDescent="0.15"/>
    <row r="731" s="8" customFormat="1" ht="15.75" customHeight="1" x14ac:dyDescent="0.15"/>
    <row r="732" s="8" customFormat="1" ht="15.75" customHeight="1" x14ac:dyDescent="0.15"/>
    <row r="733" s="8" customFormat="1" ht="15.75" customHeight="1" x14ac:dyDescent="0.15"/>
    <row r="734" s="8" customFormat="1" ht="15.75" customHeight="1" x14ac:dyDescent="0.15"/>
    <row r="735" s="8" customFormat="1" ht="15.75" customHeight="1" x14ac:dyDescent="0.15"/>
    <row r="736" s="8" customFormat="1" ht="15.75" customHeight="1" x14ac:dyDescent="0.15"/>
    <row r="737" s="8" customFormat="1" ht="15.75" customHeight="1" x14ac:dyDescent="0.15"/>
    <row r="738" s="8" customFormat="1" ht="15.75" customHeight="1" x14ac:dyDescent="0.15"/>
    <row r="739" s="8" customFormat="1" ht="15.75" customHeight="1" x14ac:dyDescent="0.15"/>
    <row r="740" s="8" customFormat="1" ht="15.75" customHeight="1" x14ac:dyDescent="0.15"/>
    <row r="741" s="8" customFormat="1" ht="15.75" customHeight="1" x14ac:dyDescent="0.15"/>
    <row r="742" s="8" customFormat="1" ht="15.75" customHeight="1" x14ac:dyDescent="0.15"/>
    <row r="743" s="8" customFormat="1" ht="15.75" customHeight="1" x14ac:dyDescent="0.15"/>
    <row r="744" s="8" customFormat="1" ht="15.75" customHeight="1" x14ac:dyDescent="0.15"/>
    <row r="745" s="8" customFormat="1" ht="15.75" customHeight="1" x14ac:dyDescent="0.15"/>
    <row r="746" s="8" customFormat="1" ht="15.75" customHeight="1" x14ac:dyDescent="0.15"/>
    <row r="747" s="8" customFormat="1" ht="15.75" customHeight="1" x14ac:dyDescent="0.15"/>
    <row r="748" s="8" customFormat="1" ht="15.75" customHeight="1" x14ac:dyDescent="0.15"/>
    <row r="749" s="8" customFormat="1" ht="15.75" customHeight="1" x14ac:dyDescent="0.15"/>
    <row r="750" s="8" customFormat="1" ht="15.75" customHeight="1" x14ac:dyDescent="0.15"/>
    <row r="751" s="8" customFormat="1" ht="15.75" customHeight="1" x14ac:dyDescent="0.15"/>
    <row r="752" s="8" customFormat="1" ht="15.75" customHeight="1" x14ac:dyDescent="0.15"/>
    <row r="753" s="8" customFormat="1" ht="15.75" customHeight="1" x14ac:dyDescent="0.15"/>
    <row r="754" s="8" customFormat="1" ht="15.75" customHeight="1" x14ac:dyDescent="0.15"/>
    <row r="755" s="8" customFormat="1" ht="15.75" customHeight="1" x14ac:dyDescent="0.15"/>
    <row r="756" s="8" customFormat="1" ht="15.75" customHeight="1" x14ac:dyDescent="0.15"/>
    <row r="757" s="8" customFormat="1" ht="15.75" customHeight="1" x14ac:dyDescent="0.15"/>
    <row r="758" s="8" customFormat="1" ht="15.75" customHeight="1" x14ac:dyDescent="0.15"/>
    <row r="759" s="8" customFormat="1" ht="15.75" customHeight="1" x14ac:dyDescent="0.15"/>
    <row r="760" s="8" customFormat="1" ht="15.75" customHeight="1" x14ac:dyDescent="0.15"/>
    <row r="761" s="8" customFormat="1" ht="15.75" customHeight="1" x14ac:dyDescent="0.15"/>
    <row r="762" s="8" customFormat="1" ht="15.75" customHeight="1" x14ac:dyDescent="0.15"/>
    <row r="763" s="8" customFormat="1" ht="15.75" customHeight="1" x14ac:dyDescent="0.15"/>
    <row r="764" s="8" customFormat="1" ht="15.75" customHeight="1" x14ac:dyDescent="0.15"/>
    <row r="765" s="8" customFormat="1" ht="15.75" customHeight="1" x14ac:dyDescent="0.15"/>
    <row r="766" s="8" customFormat="1" ht="15.75" customHeight="1" x14ac:dyDescent="0.15"/>
    <row r="767" s="8" customFormat="1" ht="15.75" customHeight="1" x14ac:dyDescent="0.15"/>
    <row r="768" s="8" customFormat="1" ht="15.75" customHeight="1" x14ac:dyDescent="0.15"/>
    <row r="769" s="8" customFormat="1" ht="15.75" customHeight="1" x14ac:dyDescent="0.15"/>
    <row r="770" s="8" customFormat="1" ht="15.75" customHeight="1" x14ac:dyDescent="0.15"/>
    <row r="771" s="8" customFormat="1" ht="15.75" customHeight="1" x14ac:dyDescent="0.15"/>
    <row r="772" s="8" customFormat="1" ht="15.75" customHeight="1" x14ac:dyDescent="0.15"/>
    <row r="773" s="8" customFormat="1" ht="15.75" customHeight="1" x14ac:dyDescent="0.15"/>
    <row r="774" s="8" customFormat="1" ht="15.75" customHeight="1" x14ac:dyDescent="0.15"/>
    <row r="775" s="8" customFormat="1" ht="15.75" customHeight="1" x14ac:dyDescent="0.15"/>
    <row r="776" s="8" customFormat="1" ht="15.75" customHeight="1" x14ac:dyDescent="0.15"/>
    <row r="777" s="8" customFormat="1" ht="15.75" customHeight="1" x14ac:dyDescent="0.15"/>
    <row r="778" s="8" customFormat="1" ht="15.75" customHeight="1" x14ac:dyDescent="0.15"/>
    <row r="779" s="8" customFormat="1" ht="15.75" customHeight="1" x14ac:dyDescent="0.15"/>
    <row r="780" s="8" customFormat="1" ht="15.75" customHeight="1" x14ac:dyDescent="0.15"/>
    <row r="781" s="8" customFormat="1" ht="15.75" customHeight="1" x14ac:dyDescent="0.15"/>
    <row r="782" s="8" customFormat="1" ht="15.75" customHeight="1" x14ac:dyDescent="0.15"/>
    <row r="783" s="8" customFormat="1" ht="15.75" customHeight="1" x14ac:dyDescent="0.15"/>
    <row r="784" s="8" customFormat="1" ht="15.75" customHeight="1" x14ac:dyDescent="0.15"/>
    <row r="785" s="8" customFormat="1" ht="15.75" customHeight="1" x14ac:dyDescent="0.15"/>
    <row r="786" s="8" customFormat="1" ht="15.75" customHeight="1" x14ac:dyDescent="0.15"/>
    <row r="787" s="8" customFormat="1" ht="15.75" customHeight="1" x14ac:dyDescent="0.15"/>
    <row r="788" s="8" customFormat="1" ht="15.75" customHeight="1" x14ac:dyDescent="0.15"/>
    <row r="789" s="8" customFormat="1" ht="15.75" customHeight="1" x14ac:dyDescent="0.15"/>
    <row r="790" s="8" customFormat="1" ht="15.75" customHeight="1" x14ac:dyDescent="0.15"/>
    <row r="791" s="8" customFormat="1" ht="15.75" customHeight="1" x14ac:dyDescent="0.15"/>
    <row r="792" s="8" customFormat="1" ht="15.75" customHeight="1" x14ac:dyDescent="0.15"/>
    <row r="793" s="8" customFormat="1" ht="15.75" customHeight="1" x14ac:dyDescent="0.15"/>
    <row r="794" s="8" customFormat="1" ht="15.75" customHeight="1" x14ac:dyDescent="0.15"/>
    <row r="795" s="8" customFormat="1" ht="15.75" customHeight="1" x14ac:dyDescent="0.15"/>
    <row r="796" s="8" customFormat="1" ht="15.75" customHeight="1" x14ac:dyDescent="0.15"/>
    <row r="797" s="8" customFormat="1" ht="15.75" customHeight="1" x14ac:dyDescent="0.15"/>
    <row r="798" s="8" customFormat="1" ht="15.75" customHeight="1" x14ac:dyDescent="0.15"/>
    <row r="799" s="8" customFormat="1" ht="15.75" customHeight="1" x14ac:dyDescent="0.15"/>
    <row r="800" s="8" customFormat="1" ht="15.75" customHeight="1" x14ac:dyDescent="0.15"/>
    <row r="801" s="8" customFormat="1" ht="15.75" customHeight="1" x14ac:dyDescent="0.15"/>
    <row r="802" s="8" customFormat="1" ht="15.75" customHeight="1" x14ac:dyDescent="0.15"/>
    <row r="803" s="8" customFormat="1" ht="15.75" customHeight="1" x14ac:dyDescent="0.15"/>
    <row r="804" s="8" customFormat="1" ht="15.75" customHeight="1" x14ac:dyDescent="0.15"/>
    <row r="805" s="8" customFormat="1" ht="15.75" customHeight="1" x14ac:dyDescent="0.15"/>
    <row r="806" s="8" customFormat="1" ht="15.75" customHeight="1" x14ac:dyDescent="0.15"/>
    <row r="807" s="8" customFormat="1" ht="15.75" customHeight="1" x14ac:dyDescent="0.15"/>
    <row r="808" s="8" customFormat="1" ht="15.75" customHeight="1" x14ac:dyDescent="0.15"/>
    <row r="809" s="8" customFormat="1" ht="15.75" customHeight="1" x14ac:dyDescent="0.15"/>
    <row r="810" s="8" customFormat="1" ht="15.75" customHeight="1" x14ac:dyDescent="0.15"/>
    <row r="811" s="8" customFormat="1" ht="15.75" customHeight="1" x14ac:dyDescent="0.15"/>
    <row r="812" s="8" customFormat="1" ht="15.75" customHeight="1" x14ac:dyDescent="0.15"/>
    <row r="813" s="8" customFormat="1" ht="15.75" customHeight="1" x14ac:dyDescent="0.15"/>
    <row r="814" s="8" customFormat="1" ht="15.75" customHeight="1" x14ac:dyDescent="0.15"/>
    <row r="815" s="8" customFormat="1" ht="15.75" customHeight="1" x14ac:dyDescent="0.15"/>
    <row r="816" s="8" customFormat="1" ht="15.75" customHeight="1" x14ac:dyDescent="0.15"/>
    <row r="817" s="8" customFormat="1" ht="15.75" customHeight="1" x14ac:dyDescent="0.15"/>
    <row r="818" s="8" customFormat="1" ht="15.75" customHeight="1" x14ac:dyDescent="0.15"/>
    <row r="819" s="8" customFormat="1" ht="15.75" customHeight="1" x14ac:dyDescent="0.15"/>
    <row r="820" s="8" customFormat="1" ht="15.75" customHeight="1" x14ac:dyDescent="0.15"/>
    <row r="821" s="8" customFormat="1" ht="15.75" customHeight="1" x14ac:dyDescent="0.15"/>
    <row r="822" s="8" customFormat="1" ht="15.75" customHeight="1" x14ac:dyDescent="0.15"/>
    <row r="823" s="8" customFormat="1" ht="15.75" customHeight="1" x14ac:dyDescent="0.15"/>
    <row r="824" s="8" customFormat="1" ht="15.75" customHeight="1" x14ac:dyDescent="0.15"/>
    <row r="825" s="8" customFormat="1" ht="15.75" customHeight="1" x14ac:dyDescent="0.15"/>
    <row r="826" s="8" customFormat="1" ht="15.75" customHeight="1" x14ac:dyDescent="0.15"/>
    <row r="827" s="8" customFormat="1" ht="15.75" customHeight="1" x14ac:dyDescent="0.15"/>
    <row r="828" s="8" customFormat="1" ht="15.75" customHeight="1" x14ac:dyDescent="0.15"/>
    <row r="829" s="8" customFormat="1" ht="15.75" customHeight="1" x14ac:dyDescent="0.15"/>
    <row r="830" s="8" customFormat="1" ht="15.75" customHeight="1" x14ac:dyDescent="0.15"/>
    <row r="831" s="8" customFormat="1" ht="15.75" customHeight="1" x14ac:dyDescent="0.15"/>
    <row r="832" s="8" customFormat="1" ht="15.75" customHeight="1" x14ac:dyDescent="0.15"/>
    <row r="833" s="8" customFormat="1" ht="15.75" customHeight="1" x14ac:dyDescent="0.15"/>
    <row r="834" s="8" customFormat="1" ht="15.75" customHeight="1" x14ac:dyDescent="0.15"/>
    <row r="835" s="8" customFormat="1" ht="15.75" customHeight="1" x14ac:dyDescent="0.15"/>
    <row r="836" s="8" customFormat="1" ht="15.75" customHeight="1" x14ac:dyDescent="0.15"/>
    <row r="837" s="8" customFormat="1" ht="15.75" customHeight="1" x14ac:dyDescent="0.15"/>
    <row r="838" s="8" customFormat="1" ht="15.75" customHeight="1" x14ac:dyDescent="0.15"/>
    <row r="839" s="8" customFormat="1" ht="15.75" customHeight="1" x14ac:dyDescent="0.15"/>
    <row r="840" s="8" customFormat="1" ht="15.75" customHeight="1" x14ac:dyDescent="0.15"/>
    <row r="841" s="8" customFormat="1" ht="15.75" customHeight="1" x14ac:dyDescent="0.15"/>
    <row r="842" s="8" customFormat="1" ht="15.75" customHeight="1" x14ac:dyDescent="0.15"/>
    <row r="843" s="8" customFormat="1" ht="15.75" customHeight="1" x14ac:dyDescent="0.15"/>
    <row r="844" s="8" customFormat="1" ht="15.75" customHeight="1" x14ac:dyDescent="0.15"/>
    <row r="845" s="8" customFormat="1" ht="15.75" customHeight="1" x14ac:dyDescent="0.15"/>
    <row r="846" s="8" customFormat="1" ht="15.75" customHeight="1" x14ac:dyDescent="0.15"/>
    <row r="847" s="8" customFormat="1" ht="15.75" customHeight="1" x14ac:dyDescent="0.15"/>
    <row r="848" s="8" customFormat="1" ht="15.75" customHeight="1" x14ac:dyDescent="0.15"/>
    <row r="849" s="8" customFormat="1" ht="15.75" customHeight="1" x14ac:dyDescent="0.15"/>
    <row r="850" s="8" customFormat="1" ht="15.75" customHeight="1" x14ac:dyDescent="0.15"/>
    <row r="851" s="8" customFormat="1" ht="15.75" customHeight="1" x14ac:dyDescent="0.15"/>
    <row r="852" s="8" customFormat="1" ht="15.75" customHeight="1" x14ac:dyDescent="0.15"/>
    <row r="853" s="8" customFormat="1" ht="15.75" customHeight="1" x14ac:dyDescent="0.15"/>
    <row r="854" s="8" customFormat="1" ht="15.75" customHeight="1" x14ac:dyDescent="0.15"/>
    <row r="855" s="8" customFormat="1" ht="15.75" customHeight="1" x14ac:dyDescent="0.15"/>
    <row r="856" s="8" customFormat="1" ht="15.75" customHeight="1" x14ac:dyDescent="0.15"/>
    <row r="857" s="8" customFormat="1" ht="15.75" customHeight="1" x14ac:dyDescent="0.15"/>
    <row r="858" s="8" customFormat="1" ht="15.75" customHeight="1" x14ac:dyDescent="0.15"/>
    <row r="859" s="8" customFormat="1" ht="15.75" customHeight="1" x14ac:dyDescent="0.15"/>
    <row r="860" s="8" customFormat="1" ht="15.75" customHeight="1" x14ac:dyDescent="0.15"/>
    <row r="861" s="8" customFormat="1" ht="15.75" customHeight="1" x14ac:dyDescent="0.15"/>
    <row r="862" s="8" customFormat="1" ht="15.75" customHeight="1" x14ac:dyDescent="0.15"/>
    <row r="863" s="8" customFormat="1" ht="15.75" customHeight="1" x14ac:dyDescent="0.15"/>
    <row r="864" s="8" customFormat="1" ht="15.75" customHeight="1" x14ac:dyDescent="0.15"/>
    <row r="865" s="8" customFormat="1" ht="15.75" customHeight="1" x14ac:dyDescent="0.15"/>
    <row r="866" s="8" customFormat="1" ht="15.75" customHeight="1" x14ac:dyDescent="0.15"/>
    <row r="867" s="8" customFormat="1" ht="15.75" customHeight="1" x14ac:dyDescent="0.15"/>
    <row r="868" s="8" customFormat="1" ht="15.75" customHeight="1" x14ac:dyDescent="0.15"/>
    <row r="869" s="8" customFormat="1" ht="15.75" customHeight="1" x14ac:dyDescent="0.15"/>
    <row r="870" s="8" customFormat="1" ht="15.75" customHeight="1" x14ac:dyDescent="0.15"/>
    <row r="871" s="8" customFormat="1" ht="15.75" customHeight="1" x14ac:dyDescent="0.15"/>
    <row r="872" s="8" customFormat="1" ht="15.75" customHeight="1" x14ac:dyDescent="0.15"/>
    <row r="873" s="8" customFormat="1" ht="15.75" customHeight="1" x14ac:dyDescent="0.15"/>
    <row r="874" s="8" customFormat="1" ht="15.75" customHeight="1" x14ac:dyDescent="0.15"/>
    <row r="875" s="8" customFormat="1" ht="15.75" customHeight="1" x14ac:dyDescent="0.15"/>
    <row r="876" s="8" customFormat="1" ht="15.75" customHeight="1" x14ac:dyDescent="0.15"/>
    <row r="877" s="8" customFormat="1" ht="15.75" customHeight="1" x14ac:dyDescent="0.15"/>
    <row r="878" s="8" customFormat="1" ht="15.75" customHeight="1" x14ac:dyDescent="0.15"/>
    <row r="879" s="8" customFormat="1" ht="15.75" customHeight="1" x14ac:dyDescent="0.15"/>
    <row r="880" s="8" customFormat="1" ht="15.75" customHeight="1" x14ac:dyDescent="0.15"/>
    <row r="881" s="8" customFormat="1" ht="15.75" customHeight="1" x14ac:dyDescent="0.15"/>
    <row r="882" s="8" customFormat="1" ht="15.75" customHeight="1" x14ac:dyDescent="0.15"/>
    <row r="883" s="8" customFormat="1" ht="15.75" customHeight="1" x14ac:dyDescent="0.15"/>
    <row r="884" s="8" customFormat="1" ht="15.75" customHeight="1" x14ac:dyDescent="0.15"/>
    <row r="885" s="8" customFormat="1" ht="15.75" customHeight="1" x14ac:dyDescent="0.15"/>
    <row r="886" s="8" customFormat="1" ht="15.75" customHeight="1" x14ac:dyDescent="0.15"/>
    <row r="887" s="8" customFormat="1" ht="15.75" customHeight="1" x14ac:dyDescent="0.15"/>
    <row r="888" s="8" customFormat="1" ht="15.75" customHeight="1" x14ac:dyDescent="0.15"/>
    <row r="889" s="8" customFormat="1" ht="15.75" customHeight="1" x14ac:dyDescent="0.15"/>
    <row r="890" s="8" customFormat="1" ht="15.75" customHeight="1" x14ac:dyDescent="0.15"/>
    <row r="891" s="8" customFormat="1" ht="15.75" customHeight="1" x14ac:dyDescent="0.15"/>
    <row r="892" s="8" customFormat="1" ht="15.75" customHeight="1" x14ac:dyDescent="0.15"/>
    <row r="893" s="8" customFormat="1" ht="15.75" customHeight="1" x14ac:dyDescent="0.15"/>
    <row r="894" s="8" customFormat="1" ht="15.75" customHeight="1" x14ac:dyDescent="0.15"/>
    <row r="895" s="8" customFormat="1" ht="15.75" customHeight="1" x14ac:dyDescent="0.15"/>
    <row r="896" s="8" customFormat="1" ht="15.75" customHeight="1" x14ac:dyDescent="0.15"/>
    <row r="897" s="8" customFormat="1" ht="15.75" customHeight="1" x14ac:dyDescent="0.15"/>
    <row r="898" s="8" customFormat="1" ht="15.75" customHeight="1" x14ac:dyDescent="0.15"/>
    <row r="899" s="8" customFormat="1" ht="15.75" customHeight="1" x14ac:dyDescent="0.15"/>
    <row r="900" s="8" customFormat="1" ht="15.75" customHeight="1" x14ac:dyDescent="0.15"/>
    <row r="901" s="8" customFormat="1" ht="15.75" customHeight="1" x14ac:dyDescent="0.15"/>
    <row r="902" s="8" customFormat="1" ht="15.75" customHeight="1" x14ac:dyDescent="0.15"/>
    <row r="903" s="8" customFormat="1" ht="15.75" customHeight="1" x14ac:dyDescent="0.15"/>
    <row r="904" s="8" customFormat="1" ht="15.75" customHeight="1" x14ac:dyDescent="0.15"/>
    <row r="905" s="8" customFormat="1" ht="15.75" customHeight="1" x14ac:dyDescent="0.15"/>
    <row r="906" s="8" customFormat="1" ht="15.75" customHeight="1" x14ac:dyDescent="0.15"/>
    <row r="907" s="8" customFormat="1" ht="15.75" customHeight="1" x14ac:dyDescent="0.15"/>
    <row r="908" s="8" customFormat="1" ht="15.75" customHeight="1" x14ac:dyDescent="0.15"/>
    <row r="909" s="8" customFormat="1" ht="15.75" customHeight="1" x14ac:dyDescent="0.15"/>
    <row r="910" s="8" customFormat="1" ht="15.75" customHeight="1" x14ac:dyDescent="0.15"/>
    <row r="911" s="8" customFormat="1" ht="15.75" customHeight="1" x14ac:dyDescent="0.15"/>
    <row r="912" s="8" customFormat="1" ht="15.75" customHeight="1" x14ac:dyDescent="0.15"/>
    <row r="913" s="8" customFormat="1" ht="15.75" customHeight="1" x14ac:dyDescent="0.15"/>
    <row r="914" s="8" customFormat="1" ht="15.75" customHeight="1" x14ac:dyDescent="0.15"/>
    <row r="915" s="8" customFormat="1" ht="15.75" customHeight="1" x14ac:dyDescent="0.15"/>
    <row r="916" s="8" customFormat="1" ht="15.75" customHeight="1" x14ac:dyDescent="0.15"/>
    <row r="917" s="8" customFormat="1" ht="15.75" customHeight="1" x14ac:dyDescent="0.15"/>
    <row r="918" s="8" customFormat="1" ht="15.75" customHeight="1" x14ac:dyDescent="0.15"/>
    <row r="919" s="8" customFormat="1" ht="15.75" customHeight="1" x14ac:dyDescent="0.15"/>
    <row r="920" s="8" customFormat="1" ht="15.75" customHeight="1" x14ac:dyDescent="0.15"/>
    <row r="921" s="8" customFormat="1" ht="15.75" customHeight="1" x14ac:dyDescent="0.15"/>
    <row r="922" s="8" customFormat="1" ht="15.75" customHeight="1" x14ac:dyDescent="0.15"/>
    <row r="923" s="8" customFormat="1" ht="15.75" customHeight="1" x14ac:dyDescent="0.15"/>
    <row r="924" s="8" customFormat="1" ht="15.75" customHeight="1" x14ac:dyDescent="0.15"/>
    <row r="925" s="8" customFormat="1" ht="15.75" customHeight="1" x14ac:dyDescent="0.15"/>
    <row r="926" s="8" customFormat="1" ht="15.75" customHeight="1" x14ac:dyDescent="0.15"/>
    <row r="927" s="8" customFormat="1" ht="15.75" customHeight="1" x14ac:dyDescent="0.15"/>
    <row r="928" s="8" customFormat="1" ht="15.75" customHeight="1" x14ac:dyDescent="0.15"/>
    <row r="929" s="8" customFormat="1" ht="15.75" customHeight="1" x14ac:dyDescent="0.15"/>
    <row r="930" s="8" customFormat="1" ht="15.75" customHeight="1" x14ac:dyDescent="0.15"/>
    <row r="931" s="8" customFormat="1" ht="15.75" customHeight="1" x14ac:dyDescent="0.15"/>
    <row r="932" s="8" customFormat="1" ht="15.75" customHeight="1" x14ac:dyDescent="0.15"/>
    <row r="933" s="8" customFormat="1" ht="15.75" customHeight="1" x14ac:dyDescent="0.15"/>
    <row r="934" s="8" customFormat="1" ht="15.75" customHeight="1" x14ac:dyDescent="0.15"/>
    <row r="935" s="8" customFormat="1" ht="15.75" customHeight="1" x14ac:dyDescent="0.15"/>
    <row r="936" s="8" customFormat="1" ht="15.75" customHeight="1" x14ac:dyDescent="0.15"/>
    <row r="937" s="8" customFormat="1" ht="15.75" customHeight="1" x14ac:dyDescent="0.15"/>
    <row r="938" s="8" customFormat="1" ht="15.75" customHeight="1" x14ac:dyDescent="0.15"/>
    <row r="939" s="8" customFormat="1" ht="15.75" customHeight="1" x14ac:dyDescent="0.15"/>
    <row r="940" s="8" customFormat="1" ht="15.75" customHeight="1" x14ac:dyDescent="0.15"/>
    <row r="941" s="8" customFormat="1" ht="15.75" customHeight="1" x14ac:dyDescent="0.15"/>
    <row r="942" s="8" customFormat="1" ht="15.75" customHeight="1" x14ac:dyDescent="0.15"/>
    <row r="943" s="8" customFormat="1" ht="15.75" customHeight="1" x14ac:dyDescent="0.15"/>
    <row r="944" s="8" customFormat="1" ht="15.75" customHeight="1" x14ac:dyDescent="0.15"/>
    <row r="945" s="8" customFormat="1" ht="15.75" customHeight="1" x14ac:dyDescent="0.15"/>
    <row r="946" s="8" customFormat="1" ht="15.75" customHeight="1" x14ac:dyDescent="0.15"/>
    <row r="947" s="8" customFormat="1" ht="15.75" customHeight="1" x14ac:dyDescent="0.15"/>
    <row r="948" s="8" customFormat="1" ht="15.75" customHeight="1" x14ac:dyDescent="0.15"/>
    <row r="949" s="8" customFormat="1" ht="15.75" customHeight="1" x14ac:dyDescent="0.15"/>
    <row r="950" s="8" customFormat="1" ht="15.75" customHeight="1" x14ac:dyDescent="0.15"/>
    <row r="951" s="8" customFormat="1" ht="15.75" customHeight="1" x14ac:dyDescent="0.15"/>
    <row r="952" s="8" customFormat="1" ht="15.75" customHeight="1" x14ac:dyDescent="0.15"/>
    <row r="953" s="8" customFormat="1" ht="15.75" customHeight="1" x14ac:dyDescent="0.15"/>
    <row r="954" s="8" customFormat="1" ht="15.75" customHeight="1" x14ac:dyDescent="0.15"/>
    <row r="955" s="8" customFormat="1" ht="15.75" customHeight="1" x14ac:dyDescent="0.15"/>
    <row r="956" s="8" customFormat="1" ht="15.75" customHeight="1" x14ac:dyDescent="0.15"/>
    <row r="957" s="8" customFormat="1" ht="15.75" customHeight="1" x14ac:dyDescent="0.15"/>
    <row r="958" s="8" customFormat="1" ht="15.75" customHeight="1" x14ac:dyDescent="0.15"/>
    <row r="959" s="8" customFormat="1" ht="15.75" customHeight="1" x14ac:dyDescent="0.15"/>
    <row r="960" s="8" customFormat="1" ht="15.75" customHeight="1" x14ac:dyDescent="0.15"/>
    <row r="961" s="8" customFormat="1" ht="15.75" customHeight="1" x14ac:dyDescent="0.15"/>
    <row r="962" s="8" customFormat="1" ht="15.75" customHeight="1" x14ac:dyDescent="0.15"/>
    <row r="963" s="8" customFormat="1" ht="15.75" customHeight="1" x14ac:dyDescent="0.15"/>
    <row r="964" s="8" customFormat="1" ht="15.75" customHeight="1" x14ac:dyDescent="0.15"/>
    <row r="965" s="8" customFormat="1" ht="15.75" customHeight="1" x14ac:dyDescent="0.15"/>
    <row r="966" s="8" customFormat="1" ht="15.75" customHeight="1" x14ac:dyDescent="0.15"/>
    <row r="967" s="8" customFormat="1" ht="15.75" customHeight="1" x14ac:dyDescent="0.15"/>
    <row r="968" s="8" customFormat="1" ht="15.75" customHeight="1" x14ac:dyDescent="0.15"/>
    <row r="969" s="8" customFormat="1" ht="15.75" customHeight="1" x14ac:dyDescent="0.15"/>
    <row r="970" s="8" customFormat="1" ht="15.75" customHeight="1" x14ac:dyDescent="0.15"/>
    <row r="971" s="8" customFormat="1" ht="15.75" customHeight="1" x14ac:dyDescent="0.15"/>
    <row r="972" s="8" customFormat="1" ht="15.75" customHeight="1" x14ac:dyDescent="0.15"/>
    <row r="973" s="8" customFormat="1" ht="15.75" customHeight="1" x14ac:dyDescent="0.15"/>
    <row r="974" s="8" customFormat="1" ht="15.75" customHeight="1" x14ac:dyDescent="0.15"/>
    <row r="975" s="8" customFormat="1" ht="15.75" customHeight="1" x14ac:dyDescent="0.15"/>
    <row r="976" s="8" customFormat="1" ht="15.75" customHeight="1" x14ac:dyDescent="0.15"/>
    <row r="977" s="8" customFormat="1" ht="15.75" customHeight="1" x14ac:dyDescent="0.15"/>
    <row r="978" s="8" customFormat="1" ht="15.75" customHeight="1" x14ac:dyDescent="0.15"/>
    <row r="979" s="8" customFormat="1" ht="15.75" customHeight="1" x14ac:dyDescent="0.15"/>
    <row r="980" s="8" customFormat="1" ht="15.75" customHeight="1" x14ac:dyDescent="0.15"/>
    <row r="981" s="8" customFormat="1" ht="15.75" customHeight="1" x14ac:dyDescent="0.15"/>
    <row r="982" s="8" customFormat="1" ht="15.75" customHeight="1" x14ac:dyDescent="0.15"/>
    <row r="983" s="8" customFormat="1" ht="15.75" customHeight="1" x14ac:dyDescent="0.15"/>
    <row r="984" s="8" customFormat="1" ht="15.75" customHeight="1" x14ac:dyDescent="0.15"/>
    <row r="985" s="8" customFormat="1" ht="15.75" customHeight="1" x14ac:dyDescent="0.15"/>
    <row r="986" s="8" customFormat="1" ht="15.75" customHeight="1" x14ac:dyDescent="0.15"/>
    <row r="987" s="8" customFormat="1" ht="15.75" customHeight="1" x14ac:dyDescent="0.15"/>
    <row r="988" s="8" customFormat="1" ht="15.75" customHeight="1" x14ac:dyDescent="0.15"/>
    <row r="989" s="8" customFormat="1" ht="15.75" customHeight="1" x14ac:dyDescent="0.15"/>
    <row r="990" s="8" customFormat="1" ht="15.75" customHeight="1" x14ac:dyDescent="0.15"/>
    <row r="991" s="8" customFormat="1" ht="15.75" customHeight="1" x14ac:dyDescent="0.15"/>
    <row r="992" s="8" customFormat="1" ht="15.75" customHeight="1" x14ac:dyDescent="0.15"/>
    <row r="993" s="8" customFormat="1" ht="15.75" customHeight="1" x14ac:dyDescent="0.15"/>
    <row r="994" s="8" customFormat="1" ht="15.75" customHeight="1" x14ac:dyDescent="0.15"/>
    <row r="995" s="8" customFormat="1" ht="15.75" customHeight="1" x14ac:dyDescent="0.15"/>
    <row r="996" s="8" customFormat="1" ht="15.75" customHeight="1" x14ac:dyDescent="0.15"/>
    <row r="997" s="8" customFormat="1" ht="15.75" customHeight="1" x14ac:dyDescent="0.15"/>
    <row r="998" s="8" customFormat="1" ht="15.75" customHeight="1" x14ac:dyDescent="0.15"/>
  </sheetData>
  <mergeCells count="1">
    <mergeCell ref="C1:I1"/>
  </mergeCells>
  <pageMargins left="0.7" right="0.7" top="0.75" bottom="0.75" header="0" footer="0"/>
  <pageSetup orientation="portrait"/>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A1:AT997"/>
  <sheetViews>
    <sheetView showGridLines="0" zoomScaleNormal="100" workbookViewId="0">
      <pane xSplit="1" topLeftCell="B1" activePane="topRight" state="frozen"/>
      <selection activeCell="O24" sqref="O24"/>
      <selection pane="topRight" activeCell="A3" sqref="A3:XFD3"/>
    </sheetView>
  </sheetViews>
  <sheetFormatPr baseColWidth="10" defaultColWidth="12.5" defaultRowHeight="15" customHeight="1" x14ac:dyDescent="0.15"/>
  <cols>
    <col min="1" max="1" width="50.83203125" style="8" customWidth="1"/>
    <col min="2" max="2" width="19.6640625" style="8" customWidth="1"/>
    <col min="3" max="4" width="13.1640625" style="8" customWidth="1"/>
    <col min="5" max="5" width="12.6640625" style="8" customWidth="1"/>
    <col min="6" max="7" width="12" style="8" customWidth="1"/>
    <col min="8" max="8" width="13.83203125" style="8" customWidth="1"/>
    <col min="9" max="16" width="12" style="8" customWidth="1"/>
    <col min="17" max="17" width="14.1640625" style="8" customWidth="1"/>
    <col min="18" max="19" width="12" style="8" customWidth="1"/>
    <col min="20" max="20" width="13.83203125" style="8" customWidth="1"/>
    <col min="21" max="22" width="12" style="8" customWidth="1"/>
    <col min="23" max="23" width="13.5" style="8" customWidth="1"/>
    <col min="24" max="24" width="11.83203125" style="8" customWidth="1"/>
    <col min="25" max="25" width="12.6640625" style="8" customWidth="1"/>
    <col min="26" max="27" width="14.1640625" style="8" customWidth="1"/>
    <col min="28" max="28" width="13.6640625" style="8" customWidth="1"/>
    <col min="29" max="29" width="13.83203125" style="8" customWidth="1"/>
    <col min="30" max="46" width="12" style="8" customWidth="1"/>
    <col min="47" max="16384" width="12.5" style="8"/>
  </cols>
  <sheetData>
    <row r="1" spans="1:46" ht="110" customHeight="1" thickBot="1" x14ac:dyDescent="0.2">
      <c r="A1" s="126" t="s">
        <v>72</v>
      </c>
      <c r="C1" s="198"/>
      <c r="D1" s="198"/>
      <c r="E1" s="198"/>
      <c r="F1" s="198"/>
      <c r="G1" s="198"/>
      <c r="H1" s="198"/>
      <c r="I1" s="198"/>
      <c r="J1" s="198"/>
      <c r="K1" s="198"/>
    </row>
    <row r="2" spans="1:46" s="14" customFormat="1" ht="149" customHeight="1" thickBot="1" x14ac:dyDescent="0.2">
      <c r="A2" s="180" t="s">
        <v>97</v>
      </c>
      <c r="B2" s="49" t="s">
        <v>95</v>
      </c>
      <c r="C2" s="10" t="s">
        <v>13</v>
      </c>
      <c r="D2" s="10" t="s">
        <v>14</v>
      </c>
      <c r="E2" s="11" t="s">
        <v>15</v>
      </c>
      <c r="F2" s="11" t="s">
        <v>19</v>
      </c>
      <c r="G2" s="11" t="s">
        <v>20</v>
      </c>
      <c r="H2" s="10" t="s">
        <v>51</v>
      </c>
      <c r="I2" s="10" t="s">
        <v>52</v>
      </c>
      <c r="J2" s="10" t="s">
        <v>53</v>
      </c>
      <c r="K2" s="11" t="s">
        <v>54</v>
      </c>
      <c r="L2" s="11" t="s">
        <v>55</v>
      </c>
      <c r="M2" s="11" t="s">
        <v>56</v>
      </c>
      <c r="N2" s="10" t="s">
        <v>16</v>
      </c>
      <c r="O2" s="10" t="s">
        <v>21</v>
      </c>
      <c r="P2" s="10" t="s">
        <v>22</v>
      </c>
      <c r="Q2" s="11" t="s">
        <v>60</v>
      </c>
      <c r="R2" s="11" t="s">
        <v>61</v>
      </c>
      <c r="S2" s="11" t="s">
        <v>62</v>
      </c>
      <c r="T2" s="10" t="s">
        <v>57</v>
      </c>
      <c r="U2" s="10" t="s">
        <v>58</v>
      </c>
      <c r="V2" s="10" t="s">
        <v>59</v>
      </c>
      <c r="W2" s="11" t="s">
        <v>66</v>
      </c>
      <c r="X2" s="11" t="s">
        <v>67</v>
      </c>
      <c r="Y2" s="11" t="s">
        <v>68</v>
      </c>
      <c r="Z2" s="10" t="s">
        <v>17</v>
      </c>
      <c r="AA2" s="10" t="s">
        <v>23</v>
      </c>
      <c r="AB2" s="10" t="s">
        <v>24</v>
      </c>
      <c r="AC2" s="11" t="s">
        <v>63</v>
      </c>
      <c r="AD2" s="11" t="s">
        <v>64</v>
      </c>
      <c r="AE2" s="11" t="s">
        <v>65</v>
      </c>
      <c r="AF2" s="10" t="s">
        <v>18</v>
      </c>
      <c r="AG2" s="10" t="s">
        <v>25</v>
      </c>
      <c r="AH2" s="12" t="s">
        <v>26</v>
      </c>
      <c r="AI2" s="13"/>
      <c r="AJ2" s="13"/>
      <c r="AK2" s="13"/>
      <c r="AL2" s="13"/>
      <c r="AM2" s="13"/>
      <c r="AN2" s="13"/>
      <c r="AO2" s="13"/>
      <c r="AP2" s="13"/>
      <c r="AQ2" s="13"/>
      <c r="AR2" s="13"/>
      <c r="AS2" s="13"/>
      <c r="AT2" s="13"/>
    </row>
    <row r="3" spans="1:46" ht="17" customHeight="1" x14ac:dyDescent="0.2">
      <c r="A3" s="15" t="str">
        <f>Count_Tbl[[#This Row],[Column1]]</f>
        <v>Total Population for Each Learner Group</v>
      </c>
      <c r="B3" s="57" t="str">
        <f>IFERROR(Tot_Student_Pop/Tot_Student_Pop," ")</f>
        <v xml:space="preserve"> </v>
      </c>
      <c r="C3" s="50" t="str">
        <f>IFERROR(Tot_Male/Tot_Student_Pop," ")</f>
        <v xml:space="preserve"> </v>
      </c>
      <c r="D3" s="50" t="str">
        <f>IFERROR(Tot_Female/Tot_Student_Pop," ")</f>
        <v xml:space="preserve"> </v>
      </c>
      <c r="E3" s="50" t="str">
        <f>IFERROR(Tot_API/Tot_Student_Pop," ")</f>
        <v xml:space="preserve"> </v>
      </c>
      <c r="F3" s="50" t="str">
        <f>IFERROR(Tot_API_Male/Tot_Student_Pop," ")</f>
        <v xml:space="preserve"> </v>
      </c>
      <c r="G3" s="50" t="str">
        <f>IFERROR(Tot_API_Female/Tot_Student_Pop," ")</f>
        <v xml:space="preserve"> </v>
      </c>
      <c r="H3" s="50" t="str">
        <f>IFERROR(Tot_BNL/Tot_Student_Pop," ")</f>
        <v xml:space="preserve"> </v>
      </c>
      <c r="I3" s="50" t="str">
        <f>IFERROR(Tot_BNL_Male/Tot_Student_Pop," ")</f>
        <v xml:space="preserve"> </v>
      </c>
      <c r="J3" s="50" t="str">
        <f>IFERROR(Tot_BNL_Female/Tot_Student_Pop," ")</f>
        <v xml:space="preserve"> </v>
      </c>
      <c r="K3" s="50" t="str" cm="1">
        <f t="array" ref="K3">IFERROR(Tot_Latinx/Tot_Student_Pop," ")</f>
        <v xml:space="preserve"> </v>
      </c>
      <c r="L3" s="50" t="str" cm="1">
        <f t="array" ref="L3">IFERROR(Tot_Latinx_Male/Tot_Student_Pop," ")</f>
        <v xml:space="preserve"> </v>
      </c>
      <c r="M3" s="50" t="str" cm="1">
        <f t="array" ref="M3">IFERROR(Tot_Latinx_Female/Tot_Student_Pop," ")</f>
        <v xml:space="preserve"> </v>
      </c>
      <c r="N3" s="50" t="str">
        <f>IFERROR(Tot_Multiracial/Tot_Student_Pop," ")</f>
        <v xml:space="preserve"> </v>
      </c>
      <c r="O3" s="50" t="str">
        <f>IFERROR(Tot_Multiracial_Male/Tot_Student_Pop," ")</f>
        <v xml:space="preserve"> </v>
      </c>
      <c r="P3" s="50" t="str">
        <f>IFERROR(Tot_Multiracial_Female/Tot_Student_Pop," ")</f>
        <v xml:space="preserve"> </v>
      </c>
      <c r="Q3" s="50" t="str">
        <f>IFERROR(Tot_AIorAN/Tot_Student_Pop," ")</f>
        <v xml:space="preserve"> </v>
      </c>
      <c r="R3" s="50" t="str">
        <f>IFERROR(Tot_AIorAN_Male/Tot_Student_Pop," ")</f>
        <v xml:space="preserve"> </v>
      </c>
      <c r="S3" s="50" t="str">
        <f>IFERROR(Tot_AIorAN_Female/Tot_Student_Pop," ")</f>
        <v xml:space="preserve"> </v>
      </c>
      <c r="T3" s="50" t="str" cm="1">
        <f t="array" ref="T3">IFERROR(Tot_WN_Latinx/Tot_Student_Pop," ")</f>
        <v xml:space="preserve"> </v>
      </c>
      <c r="U3" s="50" t="str" cm="1">
        <f t="array" ref="U3">IFERROR(Tot_WN_Latinx_Male/Tot_Student_Pop," ")</f>
        <v xml:space="preserve"> </v>
      </c>
      <c r="V3" s="50" t="str" cm="1">
        <f t="array" ref="V3">IFERROR(Tot_WN_Latinx_Female/Tot_Student_Pop," ")</f>
        <v xml:space="preserve"> </v>
      </c>
      <c r="W3" s="50" t="str">
        <f>IFERROR(Tot_Disab/Tot_Student_Pop," ")</f>
        <v xml:space="preserve"> </v>
      </c>
      <c r="X3" s="50" t="str">
        <f>IFERROR(Tot_Disab_Male/Tot_Student_Pop," ")</f>
        <v xml:space="preserve"> </v>
      </c>
      <c r="Y3" s="50" t="str">
        <f>IFERROR(Tot_Disab_Female/Tot_Student_Pop," ")</f>
        <v xml:space="preserve"> </v>
      </c>
      <c r="Z3" s="50" t="str">
        <f>IFERROR(Tot_Econ_Disadv/Tot_Student_Pop," ")</f>
        <v xml:space="preserve"> </v>
      </c>
      <c r="AA3" s="50" t="str">
        <f>IFERROR(Tot_Econ_Disadv_Male/Tot_Student_Pop," ")</f>
        <v xml:space="preserve"> </v>
      </c>
      <c r="AB3" s="50" t="str">
        <f>IFERROR(Tot_Econ_Disadv_Female/Tot_Student_Pop," ")</f>
        <v xml:space="preserve"> </v>
      </c>
      <c r="AC3" s="50" t="str">
        <f>IFERROR(Tot_Eng_Lang/Tot_Student_Pop," ")</f>
        <v xml:space="preserve"> </v>
      </c>
      <c r="AD3" s="50" t="str">
        <f>IFERROR(Tot_Eng_Lang_Male/Tot_Student_Pop," ")</f>
        <v xml:space="preserve"> </v>
      </c>
      <c r="AE3" s="50" t="str">
        <f>IFERROR(Tot_Eng_Lang_Female/Tot_Student_Pop," ")</f>
        <v xml:space="preserve"> </v>
      </c>
      <c r="AF3" s="50" t="str">
        <f>IFERROR(Tot_Migrant/Tot_Student_Pop," ")</f>
        <v xml:space="preserve"> </v>
      </c>
      <c r="AG3" s="50" t="str">
        <f>IFERROR(Tot_Migrant_Male/Tot_Student_Pop," ")</f>
        <v xml:space="preserve"> </v>
      </c>
      <c r="AH3" s="50" t="str">
        <f>IFERROR(Tot_Migrant_Female/Tot_Student_Pop," ")</f>
        <v xml:space="preserve"> </v>
      </c>
      <c r="AI3" s="27"/>
      <c r="AJ3" s="27"/>
      <c r="AK3" s="27"/>
      <c r="AL3" s="27"/>
      <c r="AM3" s="27"/>
      <c r="AN3" s="27"/>
      <c r="AO3" s="27"/>
      <c r="AP3" s="27"/>
      <c r="AQ3" s="27"/>
      <c r="AR3" s="27"/>
      <c r="AS3" s="27"/>
      <c r="AT3" s="27"/>
    </row>
    <row r="4" spans="1:46" ht="17" customHeight="1" x14ac:dyDescent="0.2">
      <c r="A4" s="48" t="str">
        <f>Count_Tbl[[#This Row],[Column1]]</f>
        <v>CTE Participation</v>
      </c>
      <c r="B4" s="174"/>
      <c r="C4" s="58"/>
      <c r="D4" s="58"/>
      <c r="E4" s="175"/>
      <c r="F4" s="175"/>
      <c r="G4" s="175"/>
      <c r="H4" s="58"/>
      <c r="I4" s="58"/>
      <c r="J4" s="58"/>
      <c r="K4" s="175"/>
      <c r="L4" s="175"/>
      <c r="M4" s="175"/>
      <c r="N4" s="58"/>
      <c r="O4" s="58"/>
      <c r="P4" s="58"/>
      <c r="Q4" s="175"/>
      <c r="R4" s="175"/>
      <c r="S4" s="175"/>
      <c r="T4" s="58"/>
      <c r="U4" s="58"/>
      <c r="V4" s="58"/>
      <c r="W4" s="175"/>
      <c r="X4" s="175"/>
      <c r="Y4" s="175"/>
      <c r="Z4" s="58"/>
      <c r="AA4" s="58"/>
      <c r="AB4" s="58"/>
      <c r="AC4" s="175"/>
      <c r="AD4" s="175"/>
      <c r="AE4" s="175"/>
      <c r="AF4" s="59"/>
      <c r="AG4" s="58"/>
      <c r="AH4" s="58"/>
      <c r="AI4" s="27"/>
      <c r="AJ4" s="27"/>
      <c r="AK4" s="27"/>
      <c r="AL4" s="27"/>
      <c r="AM4" s="27"/>
      <c r="AN4" s="27"/>
      <c r="AO4" s="27"/>
      <c r="AP4" s="27"/>
      <c r="AQ4" s="27"/>
      <c r="AR4" s="27"/>
      <c r="AS4" s="27"/>
      <c r="AT4" s="27"/>
    </row>
    <row r="5" spans="1:46" ht="17" customHeight="1" x14ac:dyDescent="0.2">
      <c r="A5" s="48" t="str">
        <f>Count_Tbl[[#This Row],[Column1]]</f>
        <v>HWHD CTE Participation</v>
      </c>
      <c r="B5" s="174"/>
      <c r="C5" s="58"/>
      <c r="D5" s="58"/>
      <c r="E5" s="175"/>
      <c r="F5" s="175"/>
      <c r="G5" s="175"/>
      <c r="H5" s="58"/>
      <c r="I5" s="58"/>
      <c r="J5" s="58"/>
      <c r="K5" s="175"/>
      <c r="L5" s="175"/>
      <c r="M5" s="175"/>
      <c r="N5" s="58"/>
      <c r="O5" s="58"/>
      <c r="P5" s="58"/>
      <c r="Q5" s="175"/>
      <c r="R5" s="175"/>
      <c r="S5" s="175"/>
      <c r="T5" s="58"/>
      <c r="U5" s="58"/>
      <c r="V5" s="58"/>
      <c r="W5" s="175"/>
      <c r="X5" s="175"/>
      <c r="Y5" s="175"/>
      <c r="Z5" s="58"/>
      <c r="AA5" s="58"/>
      <c r="AB5" s="58"/>
      <c r="AC5" s="175"/>
      <c r="AD5" s="175"/>
      <c r="AE5" s="175"/>
      <c r="AF5" s="59"/>
      <c r="AG5" s="58"/>
      <c r="AH5" s="58"/>
      <c r="AI5" s="27"/>
      <c r="AJ5" s="27"/>
      <c r="AK5" s="27"/>
      <c r="AL5" s="27"/>
      <c r="AM5" s="27"/>
      <c r="AN5" s="27"/>
      <c r="AO5" s="27"/>
      <c r="AP5" s="27"/>
      <c r="AQ5" s="27"/>
      <c r="AR5" s="27"/>
      <c r="AS5" s="27"/>
      <c r="AT5" s="27"/>
    </row>
    <row r="6" spans="1:46" ht="17" customHeight="1" x14ac:dyDescent="0.2">
      <c r="A6" s="48" t="str">
        <f>Count_Tbl[[#This Row],[Column1]]</f>
        <v>CTE Concentration</v>
      </c>
      <c r="B6" s="174"/>
      <c r="C6" s="58"/>
      <c r="D6" s="58"/>
      <c r="E6" s="175"/>
      <c r="F6" s="175"/>
      <c r="G6" s="175"/>
      <c r="H6" s="58"/>
      <c r="I6" s="58"/>
      <c r="J6" s="58"/>
      <c r="K6" s="175"/>
      <c r="L6" s="175"/>
      <c r="M6" s="175"/>
      <c r="N6" s="58"/>
      <c r="O6" s="58"/>
      <c r="P6" s="58"/>
      <c r="Q6" s="175"/>
      <c r="R6" s="175"/>
      <c r="S6" s="175"/>
      <c r="T6" s="58"/>
      <c r="U6" s="58"/>
      <c r="V6" s="58"/>
      <c r="W6" s="175"/>
      <c r="X6" s="175"/>
      <c r="Y6" s="175"/>
      <c r="Z6" s="58"/>
      <c r="AA6" s="58"/>
      <c r="AB6" s="58"/>
      <c r="AC6" s="175"/>
      <c r="AD6" s="175"/>
      <c r="AE6" s="175"/>
      <c r="AF6" s="59"/>
      <c r="AG6" s="58"/>
      <c r="AH6" s="58"/>
      <c r="AI6" s="27"/>
      <c r="AJ6" s="27"/>
      <c r="AK6" s="27"/>
      <c r="AL6" s="27"/>
      <c r="AM6" s="27"/>
      <c r="AN6" s="27"/>
      <c r="AO6" s="27"/>
      <c r="AP6" s="27"/>
      <c r="AQ6" s="27"/>
      <c r="AR6" s="27"/>
      <c r="AS6" s="27"/>
      <c r="AT6" s="27"/>
    </row>
    <row r="7" spans="1:46" ht="17" customHeight="1" x14ac:dyDescent="0.2">
      <c r="A7" s="48" t="str">
        <f>Count_Tbl[[#This Row],[Column1]]</f>
        <v>HWHD CTE Concentration</v>
      </c>
      <c r="B7" s="174"/>
      <c r="C7" s="58"/>
      <c r="D7" s="58"/>
      <c r="E7" s="175"/>
      <c r="F7" s="175"/>
      <c r="G7" s="175"/>
      <c r="H7" s="58"/>
      <c r="I7" s="58"/>
      <c r="J7" s="58"/>
      <c r="K7" s="175"/>
      <c r="L7" s="175"/>
      <c r="M7" s="175"/>
      <c r="N7" s="58"/>
      <c r="O7" s="58"/>
      <c r="P7" s="58"/>
      <c r="Q7" s="175"/>
      <c r="R7" s="175"/>
      <c r="S7" s="175"/>
      <c r="T7" s="58"/>
      <c r="U7" s="58"/>
      <c r="V7" s="58"/>
      <c r="W7" s="175"/>
      <c r="X7" s="175"/>
      <c r="Y7" s="175"/>
      <c r="Z7" s="58"/>
      <c r="AA7" s="58"/>
      <c r="AB7" s="58"/>
      <c r="AC7" s="175"/>
      <c r="AD7" s="175"/>
      <c r="AE7" s="175"/>
      <c r="AF7" s="59"/>
      <c r="AG7" s="58"/>
      <c r="AH7" s="58"/>
      <c r="AI7" s="27"/>
      <c r="AJ7" s="27"/>
      <c r="AK7" s="27"/>
      <c r="AL7" s="27"/>
      <c r="AM7" s="27"/>
      <c r="AN7" s="27"/>
      <c r="AO7" s="27"/>
      <c r="AP7" s="27"/>
      <c r="AQ7" s="27"/>
      <c r="AR7" s="27"/>
      <c r="AS7" s="27"/>
      <c r="AT7" s="27"/>
    </row>
    <row r="8" spans="1:46" ht="17" customHeight="1" x14ac:dyDescent="0.2">
      <c r="A8" s="48" t="str">
        <f>Count_Tbl[[#This Row],[Column1]]</f>
        <v>WBL Completion</v>
      </c>
      <c r="B8" s="174"/>
      <c r="C8" s="58"/>
      <c r="D8" s="58"/>
      <c r="E8" s="175"/>
      <c r="F8" s="175"/>
      <c r="G8" s="175"/>
      <c r="H8" s="58"/>
      <c r="I8" s="58"/>
      <c r="J8" s="58"/>
      <c r="K8" s="175"/>
      <c r="L8" s="175"/>
      <c r="M8" s="175"/>
      <c r="N8" s="58"/>
      <c r="O8" s="58"/>
      <c r="P8" s="58"/>
      <c r="Q8" s="175"/>
      <c r="R8" s="175"/>
      <c r="S8" s="175"/>
      <c r="T8" s="58"/>
      <c r="U8" s="58"/>
      <c r="V8" s="58"/>
      <c r="W8" s="175"/>
      <c r="X8" s="175"/>
      <c r="Y8" s="175"/>
      <c r="Z8" s="58"/>
      <c r="AA8" s="58"/>
      <c r="AB8" s="58"/>
      <c r="AC8" s="175"/>
      <c r="AD8" s="175"/>
      <c r="AE8" s="175"/>
      <c r="AF8" s="58"/>
      <c r="AG8" s="58"/>
      <c r="AH8" s="58"/>
      <c r="AI8" s="27"/>
      <c r="AJ8" s="27"/>
      <c r="AK8" s="27"/>
      <c r="AL8" s="27"/>
      <c r="AM8" s="27"/>
      <c r="AN8" s="27"/>
      <c r="AO8" s="27"/>
      <c r="AP8" s="27"/>
      <c r="AQ8" s="27"/>
      <c r="AR8" s="27"/>
      <c r="AS8" s="27"/>
      <c r="AT8" s="27"/>
    </row>
    <row r="9" spans="1:46" ht="17" customHeight="1" x14ac:dyDescent="0.2">
      <c r="A9" s="48" t="str">
        <f>Count_Tbl[[#This Row],[Column1]]</f>
        <v>Advanced Coursework Completion</v>
      </c>
      <c r="B9" s="174"/>
      <c r="C9" s="58"/>
      <c r="D9" s="58"/>
      <c r="E9" s="175"/>
      <c r="F9" s="175"/>
      <c r="G9" s="175"/>
      <c r="H9" s="58"/>
      <c r="I9" s="58"/>
      <c r="J9" s="58"/>
      <c r="K9" s="175"/>
      <c r="L9" s="175"/>
      <c r="M9" s="175"/>
      <c r="N9" s="58"/>
      <c r="O9" s="58"/>
      <c r="P9" s="58"/>
      <c r="Q9" s="175"/>
      <c r="R9" s="175"/>
      <c r="S9" s="175"/>
      <c r="T9" s="58"/>
      <c r="U9" s="58"/>
      <c r="V9" s="58"/>
      <c r="W9" s="175"/>
      <c r="X9" s="175"/>
      <c r="Y9" s="175"/>
      <c r="Z9" s="58"/>
      <c r="AA9" s="58"/>
      <c r="AB9" s="58"/>
      <c r="AC9" s="175"/>
      <c r="AD9" s="175"/>
      <c r="AE9" s="175"/>
      <c r="AF9" s="58"/>
      <c r="AG9" s="58"/>
      <c r="AH9" s="58"/>
      <c r="AI9" s="27"/>
      <c r="AJ9" s="27"/>
      <c r="AK9" s="27"/>
      <c r="AL9" s="27"/>
      <c r="AM9" s="27"/>
      <c r="AN9" s="27"/>
      <c r="AO9" s="27"/>
      <c r="AP9" s="27"/>
      <c r="AQ9" s="27"/>
      <c r="AR9" s="27"/>
      <c r="AS9" s="27"/>
      <c r="AT9" s="27"/>
    </row>
    <row r="10" spans="1:46" ht="17" customHeight="1" x14ac:dyDescent="0.2">
      <c r="A10" s="48" t="str">
        <f>Count_Tbl[[#This Row],[Column1]]</f>
        <v>Credential Completion</v>
      </c>
      <c r="B10" s="174"/>
      <c r="C10" s="58"/>
      <c r="D10" s="58"/>
      <c r="E10" s="175"/>
      <c r="F10" s="175"/>
      <c r="G10" s="175"/>
      <c r="H10" s="58"/>
      <c r="I10" s="58"/>
      <c r="J10" s="58"/>
      <c r="K10" s="175"/>
      <c r="L10" s="175"/>
      <c r="M10" s="175"/>
      <c r="N10" s="58"/>
      <c r="O10" s="58"/>
      <c r="P10" s="58"/>
      <c r="Q10" s="175"/>
      <c r="R10" s="175"/>
      <c r="S10" s="175"/>
      <c r="T10" s="58"/>
      <c r="U10" s="58"/>
      <c r="V10" s="58"/>
      <c r="W10" s="175"/>
      <c r="X10" s="175"/>
      <c r="Y10" s="175"/>
      <c r="Z10" s="58"/>
      <c r="AA10" s="58"/>
      <c r="AB10" s="58"/>
      <c r="AC10" s="175"/>
      <c r="AD10" s="175"/>
      <c r="AE10" s="175"/>
      <c r="AF10" s="58"/>
      <c r="AG10" s="58"/>
      <c r="AH10" s="58"/>
      <c r="AI10" s="27"/>
      <c r="AJ10" s="27"/>
      <c r="AK10" s="27"/>
      <c r="AL10" s="27"/>
      <c r="AM10" s="27"/>
      <c r="AN10" s="27"/>
      <c r="AO10" s="27"/>
      <c r="AP10" s="27"/>
      <c r="AQ10" s="27"/>
      <c r="AR10" s="27"/>
      <c r="AS10" s="27"/>
      <c r="AT10" s="27"/>
    </row>
    <row r="11" spans="1:46" ht="17" customHeight="1" x14ac:dyDescent="0.2">
      <c r="A11" s="48" t="str">
        <f>Count_Tbl[[#This Row],[Column1]]</f>
        <v>Placement</v>
      </c>
      <c r="B11" s="174"/>
      <c r="C11" s="58"/>
      <c r="D11" s="58"/>
      <c r="E11" s="175"/>
      <c r="F11" s="175"/>
      <c r="G11" s="175"/>
      <c r="H11" s="58"/>
      <c r="I11" s="58"/>
      <c r="J11" s="58"/>
      <c r="K11" s="175"/>
      <c r="L11" s="175"/>
      <c r="M11" s="175"/>
      <c r="N11" s="58"/>
      <c r="O11" s="58"/>
      <c r="P11" s="58"/>
      <c r="Q11" s="175"/>
      <c r="R11" s="175"/>
      <c r="S11" s="175"/>
      <c r="T11" s="58"/>
      <c r="U11" s="58"/>
      <c r="V11" s="58"/>
      <c r="W11" s="175"/>
      <c r="X11" s="175"/>
      <c r="Y11" s="175"/>
      <c r="Z11" s="58"/>
      <c r="AA11" s="58"/>
      <c r="AB11" s="58"/>
      <c r="AC11" s="175"/>
      <c r="AD11" s="175"/>
      <c r="AE11" s="175"/>
      <c r="AF11" s="58"/>
      <c r="AG11" s="58"/>
      <c r="AH11" s="58"/>
      <c r="AI11" s="27"/>
      <c r="AJ11" s="27"/>
      <c r="AK11" s="27"/>
      <c r="AL11" s="27"/>
      <c r="AM11" s="27"/>
      <c r="AN11" s="27"/>
      <c r="AO11" s="27"/>
      <c r="AP11" s="27"/>
      <c r="AQ11" s="27"/>
      <c r="AR11" s="27"/>
      <c r="AS11" s="27"/>
      <c r="AT11" s="27"/>
    </row>
    <row r="12" spans="1:46" ht="17" customHeight="1" x14ac:dyDescent="0.2">
      <c r="A12" s="48" t="str">
        <f>Count_Tbl[[#This Row],[Column1]]</f>
        <v>HWHD Placement</v>
      </c>
      <c r="B12" s="174"/>
      <c r="C12" s="58"/>
      <c r="D12" s="58"/>
      <c r="E12" s="175"/>
      <c r="F12" s="175"/>
      <c r="G12" s="175"/>
      <c r="H12" s="58"/>
      <c r="I12" s="58"/>
      <c r="J12" s="58"/>
      <c r="K12" s="175"/>
      <c r="L12" s="175"/>
      <c r="M12" s="175"/>
      <c r="N12" s="58"/>
      <c r="O12" s="58"/>
      <c r="P12" s="58"/>
      <c r="Q12" s="175"/>
      <c r="R12" s="175"/>
      <c r="S12" s="175"/>
      <c r="T12" s="58"/>
      <c r="U12" s="58"/>
      <c r="V12" s="58"/>
      <c r="W12" s="175"/>
      <c r="X12" s="175"/>
      <c r="Y12" s="175"/>
      <c r="Z12" s="58"/>
      <c r="AA12" s="58"/>
      <c r="AB12" s="58"/>
      <c r="AC12" s="175"/>
      <c r="AD12" s="175"/>
      <c r="AE12" s="175"/>
      <c r="AF12" s="58"/>
      <c r="AG12" s="58"/>
      <c r="AH12" s="58"/>
      <c r="AI12" s="27"/>
      <c r="AJ12" s="27"/>
      <c r="AK12" s="27"/>
      <c r="AL12" s="27"/>
      <c r="AM12" s="27"/>
      <c r="AN12" s="27"/>
      <c r="AO12" s="27"/>
      <c r="AP12" s="27"/>
      <c r="AQ12" s="27"/>
      <c r="AR12" s="27"/>
      <c r="AS12" s="27"/>
      <c r="AT12" s="27"/>
    </row>
    <row r="13" spans="1:46" ht="17" customHeight="1" x14ac:dyDescent="0.2">
      <c r="A13" s="48" t="str">
        <f>Count_Tbl[[#This Row],[Column1]]</f>
        <v>Wages</v>
      </c>
      <c r="B13" s="174"/>
      <c r="C13" s="58"/>
      <c r="D13" s="58"/>
      <c r="E13" s="175"/>
      <c r="F13" s="175"/>
      <c r="G13" s="175"/>
      <c r="H13" s="58"/>
      <c r="I13" s="58"/>
      <c r="J13" s="58"/>
      <c r="K13" s="175"/>
      <c r="L13" s="175"/>
      <c r="M13" s="175"/>
      <c r="N13" s="58"/>
      <c r="O13" s="58"/>
      <c r="P13" s="58"/>
      <c r="Q13" s="175"/>
      <c r="R13" s="175"/>
      <c r="S13" s="175"/>
      <c r="T13" s="58"/>
      <c r="U13" s="58"/>
      <c r="V13" s="58"/>
      <c r="W13" s="175"/>
      <c r="X13" s="175"/>
      <c r="Y13" s="175"/>
      <c r="Z13" s="58"/>
      <c r="AA13" s="58"/>
      <c r="AB13" s="58"/>
      <c r="AC13" s="175"/>
      <c r="AD13" s="175"/>
      <c r="AE13" s="175"/>
      <c r="AF13" s="58"/>
      <c r="AG13" s="58"/>
      <c r="AH13" s="58"/>
      <c r="AI13" s="27"/>
      <c r="AJ13" s="27"/>
      <c r="AK13" s="27"/>
      <c r="AL13" s="27"/>
      <c r="AM13" s="27"/>
      <c r="AN13" s="27"/>
      <c r="AO13" s="27"/>
      <c r="AP13" s="27"/>
      <c r="AQ13" s="27"/>
      <c r="AR13" s="27"/>
      <c r="AS13" s="27"/>
      <c r="AT13" s="27"/>
    </row>
    <row r="14" spans="1:46" ht="17" customHeight="1" x14ac:dyDescent="0.2">
      <c r="A14" s="48" t="str">
        <f>Count_Tbl[[#This Row],[Column1]]</f>
        <v>HWHD Wages</v>
      </c>
      <c r="B14" s="174"/>
      <c r="C14" s="58"/>
      <c r="D14" s="58"/>
      <c r="E14" s="175"/>
      <c r="F14" s="175"/>
      <c r="G14" s="175"/>
      <c r="H14" s="58"/>
      <c r="I14" s="58"/>
      <c r="J14" s="58"/>
      <c r="K14" s="175"/>
      <c r="L14" s="175"/>
      <c r="M14" s="175"/>
      <c r="N14" s="58"/>
      <c r="O14" s="58"/>
      <c r="P14" s="58"/>
      <c r="Q14" s="175"/>
      <c r="R14" s="175"/>
      <c r="S14" s="175"/>
      <c r="T14" s="58"/>
      <c r="U14" s="58"/>
      <c r="V14" s="58"/>
      <c r="W14" s="175"/>
      <c r="X14" s="175"/>
      <c r="Y14" s="175"/>
      <c r="Z14" s="58"/>
      <c r="AA14" s="58"/>
      <c r="AB14" s="58"/>
      <c r="AC14" s="175"/>
      <c r="AD14" s="175"/>
      <c r="AE14" s="175"/>
      <c r="AF14" s="58"/>
      <c r="AG14" s="58"/>
      <c r="AH14" s="58"/>
      <c r="AI14" s="27"/>
      <c r="AJ14" s="27"/>
      <c r="AK14" s="27"/>
      <c r="AL14" s="27"/>
      <c r="AM14" s="27"/>
      <c r="AN14" s="27"/>
      <c r="AO14" s="27"/>
      <c r="AP14" s="27"/>
      <c r="AQ14" s="27"/>
      <c r="AR14" s="27"/>
      <c r="AS14" s="27"/>
      <c r="AT14" s="27"/>
    </row>
    <row r="15" spans="1:46" ht="14.25" customHeight="1" x14ac:dyDescent="0.1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row>
    <row r="16" spans="1:46" ht="14.25" customHeight="1" x14ac:dyDescent="0.1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row>
    <row r="17" spans="1:46" ht="32" customHeight="1" x14ac:dyDescent="0.15">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row>
    <row r="18" spans="1:46" ht="42" customHeight="1" thickBot="1" x14ac:dyDescent="0.2">
      <c r="A18" s="129" t="s">
        <v>71</v>
      </c>
      <c r="B18" s="27"/>
      <c r="C18" s="197"/>
      <c r="D18" s="197"/>
      <c r="E18" s="197"/>
      <c r="F18" s="197"/>
      <c r="G18" s="197"/>
      <c r="H18" s="197"/>
      <c r="I18" s="197"/>
      <c r="J18" s="197"/>
      <c r="K18" s="19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row>
    <row r="19" spans="1:46" ht="111" customHeight="1" thickBot="1" x14ac:dyDescent="0.2">
      <c r="A19" s="127" t="s">
        <v>103</v>
      </c>
      <c r="B19" s="49" t="s">
        <v>95</v>
      </c>
      <c r="C19" s="10" t="s">
        <v>13</v>
      </c>
      <c r="D19" s="10" t="s">
        <v>14</v>
      </c>
      <c r="E19" s="11" t="s">
        <v>15</v>
      </c>
      <c r="F19" s="11" t="s">
        <v>19</v>
      </c>
      <c r="G19" s="11" t="s">
        <v>20</v>
      </c>
      <c r="H19" s="10" t="s">
        <v>51</v>
      </c>
      <c r="I19" s="10" t="s">
        <v>52</v>
      </c>
      <c r="J19" s="10" t="s">
        <v>53</v>
      </c>
      <c r="K19" s="11" t="s">
        <v>54</v>
      </c>
      <c r="L19" s="11" t="s">
        <v>55</v>
      </c>
      <c r="M19" s="11" t="s">
        <v>56</v>
      </c>
      <c r="N19" s="10" t="s">
        <v>16</v>
      </c>
      <c r="O19" s="10" t="s">
        <v>21</v>
      </c>
      <c r="P19" s="10" t="s">
        <v>22</v>
      </c>
      <c r="Q19" s="11" t="s">
        <v>60</v>
      </c>
      <c r="R19" s="11" t="s">
        <v>61</v>
      </c>
      <c r="S19" s="11" t="s">
        <v>62</v>
      </c>
      <c r="T19" s="10" t="s">
        <v>57</v>
      </c>
      <c r="U19" s="10" t="s">
        <v>58</v>
      </c>
      <c r="V19" s="10" t="s">
        <v>59</v>
      </c>
      <c r="W19" s="11" t="s">
        <v>66</v>
      </c>
      <c r="X19" s="11" t="s">
        <v>67</v>
      </c>
      <c r="Y19" s="11" t="s">
        <v>68</v>
      </c>
      <c r="Z19" s="10" t="s">
        <v>17</v>
      </c>
      <c r="AA19" s="10" t="s">
        <v>23</v>
      </c>
      <c r="AB19" s="10" t="s">
        <v>24</v>
      </c>
      <c r="AC19" s="11" t="s">
        <v>63</v>
      </c>
      <c r="AD19" s="11" t="s">
        <v>64</v>
      </c>
      <c r="AE19" s="11" t="s">
        <v>65</v>
      </c>
      <c r="AF19" s="10" t="s">
        <v>18</v>
      </c>
      <c r="AG19" s="10" t="s">
        <v>25</v>
      </c>
      <c r="AH19" s="12" t="s">
        <v>26</v>
      </c>
      <c r="AI19" s="27"/>
      <c r="AJ19" s="27"/>
      <c r="AK19" s="27"/>
      <c r="AL19" s="27"/>
      <c r="AM19" s="27"/>
      <c r="AN19" s="27"/>
      <c r="AO19" s="27"/>
      <c r="AP19" s="27"/>
      <c r="AQ19" s="27"/>
      <c r="AR19" s="27"/>
      <c r="AS19" s="27"/>
      <c r="AT19" s="27"/>
    </row>
    <row r="20" spans="1:46" ht="18" customHeight="1" x14ac:dyDescent="0.2">
      <c r="A20" s="48" t="str">
        <f t="shared" ref="A20:A30" si="0">A4</f>
        <v>CTE Participation</v>
      </c>
      <c r="B20" s="60" t="str">
        <f>'Current Representation'!B4</f>
        <v xml:space="preserve"> </v>
      </c>
      <c r="C20" s="60" t="str">
        <f>'Current Representation'!C4</f>
        <v xml:space="preserve"> </v>
      </c>
      <c r="D20" s="60" t="str">
        <f>'Current Representation'!D4</f>
        <v xml:space="preserve"> </v>
      </c>
      <c r="E20" s="60" t="str">
        <f>'Current Representation'!E4</f>
        <v xml:space="preserve"> </v>
      </c>
      <c r="F20" s="60" t="str">
        <f>'Current Representation'!F4</f>
        <v xml:space="preserve"> </v>
      </c>
      <c r="G20" s="60" t="str">
        <f>'Current Representation'!G4</f>
        <v xml:space="preserve"> </v>
      </c>
      <c r="H20" s="60" t="str">
        <f>'Current Representation'!H4</f>
        <v xml:space="preserve"> </v>
      </c>
      <c r="I20" s="60" t="str">
        <f>'Current Representation'!I4</f>
        <v xml:space="preserve"> </v>
      </c>
      <c r="J20" s="60" t="str">
        <f>'Current Representation'!J4</f>
        <v xml:space="preserve"> </v>
      </c>
      <c r="K20" s="60" t="str">
        <f>'Current Representation'!K4</f>
        <v xml:space="preserve"> </v>
      </c>
      <c r="L20" s="60" t="str">
        <f>'Current Representation'!L4</f>
        <v xml:space="preserve"> </v>
      </c>
      <c r="M20" s="60" t="str">
        <f>'Current Representation'!M4</f>
        <v xml:space="preserve"> </v>
      </c>
      <c r="N20" s="60" t="str">
        <f>'Current Representation'!N4</f>
        <v xml:space="preserve"> </v>
      </c>
      <c r="O20" s="60" t="str">
        <f>'Current Representation'!O4</f>
        <v xml:space="preserve"> </v>
      </c>
      <c r="P20" s="60" t="str">
        <f>'Current Representation'!P4</f>
        <v xml:space="preserve"> </v>
      </c>
      <c r="Q20" s="60" t="str">
        <f>'Current Representation'!Q4</f>
        <v xml:space="preserve"> </v>
      </c>
      <c r="R20" s="60" t="str">
        <f>'Current Representation'!R4</f>
        <v xml:space="preserve"> </v>
      </c>
      <c r="S20" s="60" t="str">
        <f>'Current Representation'!S4</f>
        <v xml:space="preserve"> </v>
      </c>
      <c r="T20" s="60" t="str">
        <f>'Current Representation'!T4</f>
        <v xml:space="preserve"> </v>
      </c>
      <c r="U20" s="60" t="str">
        <f>'Current Representation'!U4</f>
        <v xml:space="preserve"> </v>
      </c>
      <c r="V20" s="60" t="str">
        <f>'Current Representation'!V4</f>
        <v xml:space="preserve"> </v>
      </c>
      <c r="W20" s="60" t="str">
        <f>'Current Representation'!W4</f>
        <v xml:space="preserve"> </v>
      </c>
      <c r="X20" s="60" t="str">
        <f>'Current Representation'!X4</f>
        <v xml:space="preserve"> </v>
      </c>
      <c r="Y20" s="60" t="str">
        <f>'Current Representation'!Y4</f>
        <v xml:space="preserve"> </v>
      </c>
      <c r="Z20" s="60" t="str">
        <f>'Current Representation'!Z4</f>
        <v xml:space="preserve"> </v>
      </c>
      <c r="AA20" s="60" t="str">
        <f>'Current Representation'!AA4</f>
        <v xml:space="preserve"> </v>
      </c>
      <c r="AB20" s="60" t="str">
        <f>'Current Representation'!AB4</f>
        <v xml:space="preserve"> </v>
      </c>
      <c r="AC20" s="60" t="str">
        <f>'Current Representation'!AC4</f>
        <v xml:space="preserve"> </v>
      </c>
      <c r="AD20" s="60" t="str">
        <f>'Current Representation'!AD4</f>
        <v xml:space="preserve"> </v>
      </c>
      <c r="AE20" s="60" t="str">
        <f>'Current Representation'!AE4</f>
        <v xml:space="preserve"> </v>
      </c>
      <c r="AF20" s="60" t="str">
        <f>'Current Representation'!AF4</f>
        <v xml:space="preserve"> </v>
      </c>
      <c r="AG20" s="60" t="str">
        <f>'Current Representation'!AG4</f>
        <v xml:space="preserve"> </v>
      </c>
      <c r="AH20" s="60" t="str">
        <f>'Current Representation'!AH4</f>
        <v xml:space="preserve"> </v>
      </c>
      <c r="AI20" s="27"/>
      <c r="AJ20" s="27"/>
      <c r="AK20" s="27"/>
      <c r="AL20" s="27"/>
      <c r="AM20" s="27"/>
      <c r="AN20" s="27"/>
      <c r="AO20" s="27"/>
      <c r="AP20" s="27"/>
      <c r="AQ20" s="27"/>
      <c r="AR20" s="27"/>
      <c r="AS20" s="27"/>
      <c r="AT20" s="27"/>
    </row>
    <row r="21" spans="1:46" ht="18" customHeight="1" x14ac:dyDescent="0.2">
      <c r="A21" s="48" t="str">
        <f t="shared" si="0"/>
        <v>HWHD CTE Participation</v>
      </c>
      <c r="B21" s="61" t="str">
        <f>'Current Representation'!B5</f>
        <v xml:space="preserve"> </v>
      </c>
      <c r="C21" s="61" t="str">
        <f>'Current Representation'!C5</f>
        <v xml:space="preserve"> </v>
      </c>
      <c r="D21" s="61" t="str">
        <f>'Current Representation'!D5</f>
        <v xml:space="preserve"> </v>
      </c>
      <c r="E21" s="61" t="str">
        <f>'Current Representation'!E5</f>
        <v xml:space="preserve"> </v>
      </c>
      <c r="F21" s="61" t="str">
        <f>'Current Representation'!F5</f>
        <v xml:space="preserve"> </v>
      </c>
      <c r="G21" s="61" t="str">
        <f>'Current Representation'!G5</f>
        <v xml:space="preserve"> </v>
      </c>
      <c r="H21" s="61" t="str">
        <f>'Current Representation'!H5</f>
        <v xml:space="preserve"> </v>
      </c>
      <c r="I21" s="61" t="str">
        <f>'Current Representation'!I5</f>
        <v xml:space="preserve"> </v>
      </c>
      <c r="J21" s="61" t="str">
        <f>'Current Representation'!J5</f>
        <v xml:space="preserve"> </v>
      </c>
      <c r="K21" s="61" t="str">
        <f>'Current Representation'!K5</f>
        <v xml:space="preserve"> </v>
      </c>
      <c r="L21" s="61" t="str">
        <f>'Current Representation'!L5</f>
        <v xml:space="preserve"> </v>
      </c>
      <c r="M21" s="61" t="str">
        <f>'Current Representation'!M5</f>
        <v xml:space="preserve"> </v>
      </c>
      <c r="N21" s="61" t="str">
        <f>'Current Representation'!N5</f>
        <v xml:space="preserve"> </v>
      </c>
      <c r="O21" s="61" t="str">
        <f>'Current Representation'!O5</f>
        <v xml:space="preserve"> </v>
      </c>
      <c r="P21" s="61" t="str">
        <f>'Current Representation'!P5</f>
        <v xml:space="preserve"> </v>
      </c>
      <c r="Q21" s="61" t="str">
        <f>'Current Representation'!Q5</f>
        <v xml:space="preserve"> </v>
      </c>
      <c r="R21" s="61" t="str">
        <f>'Current Representation'!R5</f>
        <v xml:space="preserve"> </v>
      </c>
      <c r="S21" s="61" t="str">
        <f>'Current Representation'!S5</f>
        <v xml:space="preserve"> </v>
      </c>
      <c r="T21" s="61" t="str">
        <f>'Current Representation'!T5</f>
        <v xml:space="preserve"> </v>
      </c>
      <c r="U21" s="61" t="str">
        <f>'Current Representation'!U5</f>
        <v xml:space="preserve"> </v>
      </c>
      <c r="V21" s="61" t="str">
        <f>'Current Representation'!V5</f>
        <v xml:space="preserve"> </v>
      </c>
      <c r="W21" s="61" t="str">
        <f>'Current Representation'!W5</f>
        <v xml:space="preserve"> </v>
      </c>
      <c r="X21" s="61" t="str">
        <f>'Current Representation'!X5</f>
        <v xml:space="preserve"> </v>
      </c>
      <c r="Y21" s="61" t="str">
        <f>'Current Representation'!Y5</f>
        <v xml:space="preserve"> </v>
      </c>
      <c r="Z21" s="61" t="str">
        <f>'Current Representation'!Z5</f>
        <v xml:space="preserve"> </v>
      </c>
      <c r="AA21" s="61" t="str">
        <f>'Current Representation'!AA5</f>
        <v xml:space="preserve"> </v>
      </c>
      <c r="AB21" s="61" t="str">
        <f>'Current Representation'!AB5</f>
        <v xml:space="preserve"> </v>
      </c>
      <c r="AC21" s="61" t="str">
        <f>'Current Representation'!AC5</f>
        <v xml:space="preserve"> </v>
      </c>
      <c r="AD21" s="61" t="str">
        <f>'Current Representation'!AD5</f>
        <v xml:space="preserve"> </v>
      </c>
      <c r="AE21" s="61" t="str">
        <f>'Current Representation'!AE5</f>
        <v xml:space="preserve"> </v>
      </c>
      <c r="AF21" s="61" t="str">
        <f>'Current Representation'!AF5</f>
        <v xml:space="preserve"> </v>
      </c>
      <c r="AG21" s="61" t="str">
        <f>'Current Representation'!AG5</f>
        <v xml:space="preserve"> </v>
      </c>
      <c r="AH21" s="61" t="str">
        <f>'Current Representation'!AH5</f>
        <v xml:space="preserve"> </v>
      </c>
      <c r="AI21" s="27"/>
      <c r="AJ21" s="27"/>
      <c r="AK21" s="27"/>
      <c r="AL21" s="27"/>
      <c r="AM21" s="27"/>
      <c r="AN21" s="27"/>
      <c r="AO21" s="27"/>
      <c r="AP21" s="27"/>
      <c r="AQ21" s="27"/>
      <c r="AR21" s="27"/>
      <c r="AS21" s="27"/>
      <c r="AT21" s="27"/>
    </row>
    <row r="22" spans="1:46" ht="18" customHeight="1" x14ac:dyDescent="0.2">
      <c r="A22" s="48" t="str">
        <f t="shared" si="0"/>
        <v>CTE Concentration</v>
      </c>
      <c r="B22" s="61" t="str">
        <f>'Current Representation'!B6</f>
        <v xml:space="preserve"> </v>
      </c>
      <c r="C22" s="61" t="str">
        <f>'Current Representation'!C6</f>
        <v xml:space="preserve"> </v>
      </c>
      <c r="D22" s="61" t="str">
        <f>'Current Representation'!D6</f>
        <v xml:space="preserve"> </v>
      </c>
      <c r="E22" s="61" t="str">
        <f>'Current Representation'!E6</f>
        <v xml:space="preserve"> </v>
      </c>
      <c r="F22" s="61" t="str">
        <f>'Current Representation'!F6</f>
        <v xml:space="preserve"> </v>
      </c>
      <c r="G22" s="61" t="str">
        <f>'Current Representation'!G6</f>
        <v xml:space="preserve"> </v>
      </c>
      <c r="H22" s="61" t="str">
        <f>'Current Representation'!H6</f>
        <v xml:space="preserve"> </v>
      </c>
      <c r="I22" s="61" t="str">
        <f>'Current Representation'!I6</f>
        <v xml:space="preserve"> </v>
      </c>
      <c r="J22" s="61" t="str">
        <f>'Current Representation'!J6</f>
        <v xml:space="preserve"> </v>
      </c>
      <c r="K22" s="61" t="str">
        <f>'Current Representation'!K6</f>
        <v xml:space="preserve"> </v>
      </c>
      <c r="L22" s="61" t="str">
        <f>'Current Representation'!L6</f>
        <v xml:space="preserve"> </v>
      </c>
      <c r="M22" s="61" t="str">
        <f>'Current Representation'!M6</f>
        <v xml:space="preserve"> </v>
      </c>
      <c r="N22" s="61" t="str">
        <f>'Current Representation'!N6</f>
        <v xml:space="preserve"> </v>
      </c>
      <c r="O22" s="61" t="str">
        <f>'Current Representation'!O6</f>
        <v xml:space="preserve"> </v>
      </c>
      <c r="P22" s="61" t="str">
        <f>'Current Representation'!P6</f>
        <v xml:space="preserve"> </v>
      </c>
      <c r="Q22" s="61" t="str">
        <f>'Current Representation'!Q6</f>
        <v xml:space="preserve"> </v>
      </c>
      <c r="R22" s="61" t="str">
        <f>'Current Representation'!R6</f>
        <v xml:space="preserve"> </v>
      </c>
      <c r="S22" s="61" t="str">
        <f>'Current Representation'!S6</f>
        <v xml:space="preserve"> </v>
      </c>
      <c r="T22" s="61" t="str">
        <f>'Current Representation'!T6</f>
        <v xml:space="preserve"> </v>
      </c>
      <c r="U22" s="61" t="str">
        <f>'Current Representation'!U6</f>
        <v xml:space="preserve"> </v>
      </c>
      <c r="V22" s="61" t="str">
        <f>'Current Representation'!V6</f>
        <v xml:space="preserve"> </v>
      </c>
      <c r="W22" s="61" t="str">
        <f>'Current Representation'!W6</f>
        <v xml:space="preserve"> </v>
      </c>
      <c r="X22" s="61" t="str">
        <f>'Current Representation'!X6</f>
        <v xml:space="preserve"> </v>
      </c>
      <c r="Y22" s="61" t="str">
        <f>'Current Representation'!Y6</f>
        <v xml:space="preserve"> </v>
      </c>
      <c r="Z22" s="61" t="str">
        <f>'Current Representation'!Z6</f>
        <v xml:space="preserve"> </v>
      </c>
      <c r="AA22" s="61" t="str">
        <f>'Current Representation'!AA6</f>
        <v xml:space="preserve"> </v>
      </c>
      <c r="AB22" s="61" t="str">
        <f>'Current Representation'!AB6</f>
        <v xml:space="preserve"> </v>
      </c>
      <c r="AC22" s="61" t="str">
        <f>'Current Representation'!AC6</f>
        <v xml:space="preserve"> </v>
      </c>
      <c r="AD22" s="61" t="str">
        <f>'Current Representation'!AD6</f>
        <v xml:space="preserve"> </v>
      </c>
      <c r="AE22" s="61" t="str">
        <f>'Current Representation'!AE6</f>
        <v xml:space="preserve"> </v>
      </c>
      <c r="AF22" s="61" t="str">
        <f>'Current Representation'!AF6</f>
        <v xml:space="preserve"> </v>
      </c>
      <c r="AG22" s="61" t="str">
        <f>'Current Representation'!AG6</f>
        <v xml:space="preserve"> </v>
      </c>
      <c r="AH22" s="61" t="str">
        <f>'Current Representation'!AH6</f>
        <v xml:space="preserve"> </v>
      </c>
      <c r="AI22" s="27"/>
      <c r="AJ22" s="27"/>
      <c r="AK22" s="27"/>
      <c r="AL22" s="27"/>
      <c r="AM22" s="27"/>
      <c r="AN22" s="27"/>
      <c r="AO22" s="27"/>
      <c r="AP22" s="27"/>
      <c r="AQ22" s="27"/>
      <c r="AR22" s="27"/>
      <c r="AS22" s="27"/>
      <c r="AT22" s="27"/>
    </row>
    <row r="23" spans="1:46" ht="18" customHeight="1" x14ac:dyDescent="0.2">
      <c r="A23" s="48" t="str">
        <f t="shared" si="0"/>
        <v>HWHD CTE Concentration</v>
      </c>
      <c r="B23" s="61" t="str">
        <f>'Current Representation'!B7</f>
        <v xml:space="preserve"> </v>
      </c>
      <c r="C23" s="61" t="str">
        <f>'Current Representation'!C7</f>
        <v xml:space="preserve"> </v>
      </c>
      <c r="D23" s="61" t="str">
        <f>'Current Representation'!D7</f>
        <v xml:space="preserve"> </v>
      </c>
      <c r="E23" s="61" t="str">
        <f>'Current Representation'!E7</f>
        <v xml:space="preserve"> </v>
      </c>
      <c r="F23" s="61" t="str">
        <f>'Current Representation'!F7</f>
        <v xml:space="preserve"> </v>
      </c>
      <c r="G23" s="61" t="str">
        <f>'Current Representation'!G7</f>
        <v xml:space="preserve"> </v>
      </c>
      <c r="H23" s="61" t="str">
        <f>'Current Representation'!H7</f>
        <v xml:space="preserve"> </v>
      </c>
      <c r="I23" s="61" t="str">
        <f>'Current Representation'!I7</f>
        <v xml:space="preserve"> </v>
      </c>
      <c r="J23" s="61" t="str">
        <f>'Current Representation'!J7</f>
        <v xml:space="preserve"> </v>
      </c>
      <c r="K23" s="61" t="str">
        <f>'Current Representation'!K7</f>
        <v xml:space="preserve"> </v>
      </c>
      <c r="L23" s="61" t="str">
        <f>'Current Representation'!L7</f>
        <v xml:space="preserve"> </v>
      </c>
      <c r="M23" s="61" t="str">
        <f>'Current Representation'!M7</f>
        <v xml:space="preserve"> </v>
      </c>
      <c r="N23" s="61" t="str">
        <f>'Current Representation'!N7</f>
        <v xml:space="preserve"> </v>
      </c>
      <c r="O23" s="61" t="str">
        <f>'Current Representation'!O7</f>
        <v xml:space="preserve"> </v>
      </c>
      <c r="P23" s="61" t="str">
        <f>'Current Representation'!P7</f>
        <v xml:space="preserve"> </v>
      </c>
      <c r="Q23" s="61" t="str">
        <f>'Current Representation'!Q7</f>
        <v xml:space="preserve"> </v>
      </c>
      <c r="R23" s="61" t="str">
        <f>'Current Representation'!R7</f>
        <v xml:space="preserve"> </v>
      </c>
      <c r="S23" s="61" t="str">
        <f>'Current Representation'!S7</f>
        <v xml:space="preserve"> </v>
      </c>
      <c r="T23" s="61" t="str">
        <f>'Current Representation'!T7</f>
        <v xml:space="preserve"> </v>
      </c>
      <c r="U23" s="61" t="str">
        <f>'Current Representation'!U7</f>
        <v xml:space="preserve"> </v>
      </c>
      <c r="V23" s="61" t="str">
        <f>'Current Representation'!V7</f>
        <v xml:space="preserve"> </v>
      </c>
      <c r="W23" s="61" t="str">
        <f>'Current Representation'!W7</f>
        <v xml:space="preserve"> </v>
      </c>
      <c r="X23" s="61" t="str">
        <f>'Current Representation'!X7</f>
        <v xml:space="preserve"> </v>
      </c>
      <c r="Y23" s="61" t="str">
        <f>'Current Representation'!Y7</f>
        <v xml:space="preserve"> </v>
      </c>
      <c r="Z23" s="61" t="str">
        <f>'Current Representation'!Z7</f>
        <v xml:space="preserve"> </v>
      </c>
      <c r="AA23" s="61" t="str">
        <f>'Current Representation'!AA7</f>
        <v xml:space="preserve"> </v>
      </c>
      <c r="AB23" s="61" t="str">
        <f>'Current Representation'!AB7</f>
        <v xml:space="preserve"> </v>
      </c>
      <c r="AC23" s="61" t="str">
        <f>'Current Representation'!AC7</f>
        <v xml:space="preserve"> </v>
      </c>
      <c r="AD23" s="61" t="str">
        <f>'Current Representation'!AD7</f>
        <v xml:space="preserve"> </v>
      </c>
      <c r="AE23" s="61" t="str">
        <f>'Current Representation'!AE7</f>
        <v xml:space="preserve"> </v>
      </c>
      <c r="AF23" s="61" t="str">
        <f>'Current Representation'!AF7</f>
        <v xml:space="preserve"> </v>
      </c>
      <c r="AG23" s="61" t="str">
        <f>'Current Representation'!AG7</f>
        <v xml:space="preserve"> </v>
      </c>
      <c r="AH23" s="61" t="str">
        <f>'Current Representation'!AH7</f>
        <v xml:space="preserve"> </v>
      </c>
      <c r="AI23" s="27"/>
      <c r="AJ23" s="27"/>
      <c r="AK23" s="27"/>
      <c r="AL23" s="27"/>
      <c r="AM23" s="27"/>
      <c r="AN23" s="27"/>
      <c r="AO23" s="27"/>
      <c r="AP23" s="27"/>
      <c r="AQ23" s="27"/>
      <c r="AR23" s="27"/>
      <c r="AS23" s="27"/>
      <c r="AT23" s="27"/>
    </row>
    <row r="24" spans="1:46" ht="19" customHeight="1" x14ac:dyDescent="0.2">
      <c r="A24" s="48" t="str">
        <f t="shared" si="0"/>
        <v>WBL Completion</v>
      </c>
      <c r="B24" s="61" t="str">
        <f>'Current Representation'!B8</f>
        <v xml:space="preserve"> </v>
      </c>
      <c r="C24" s="61" t="str">
        <f>'Current Representation'!C8</f>
        <v xml:space="preserve"> </v>
      </c>
      <c r="D24" s="61" t="str">
        <f>'Current Representation'!D8</f>
        <v xml:space="preserve"> </v>
      </c>
      <c r="E24" s="61" t="str">
        <f>'Current Representation'!E8</f>
        <v xml:space="preserve"> </v>
      </c>
      <c r="F24" s="61" t="str">
        <f>'Current Representation'!F8</f>
        <v xml:space="preserve"> </v>
      </c>
      <c r="G24" s="61" t="str">
        <f>'Current Representation'!G8</f>
        <v xml:space="preserve"> </v>
      </c>
      <c r="H24" s="61" t="str">
        <f>'Current Representation'!H8</f>
        <v xml:space="preserve"> </v>
      </c>
      <c r="I24" s="61" t="str">
        <f>'Current Representation'!I8</f>
        <v xml:space="preserve"> </v>
      </c>
      <c r="J24" s="61" t="str">
        <f>'Current Representation'!J8</f>
        <v xml:space="preserve"> </v>
      </c>
      <c r="K24" s="61" t="str">
        <f>'Current Representation'!K8</f>
        <v xml:space="preserve"> </v>
      </c>
      <c r="L24" s="61" t="str">
        <f>'Current Representation'!L8</f>
        <v xml:space="preserve"> </v>
      </c>
      <c r="M24" s="61" t="str">
        <f>'Current Representation'!M8</f>
        <v xml:space="preserve"> </v>
      </c>
      <c r="N24" s="61" t="str">
        <f>'Current Representation'!N8</f>
        <v xml:space="preserve"> </v>
      </c>
      <c r="O24" s="61" t="str">
        <f>'Current Representation'!O8</f>
        <v xml:space="preserve"> </v>
      </c>
      <c r="P24" s="61" t="str">
        <f>'Current Representation'!P8</f>
        <v xml:space="preserve"> </v>
      </c>
      <c r="Q24" s="61" t="str">
        <f>'Current Representation'!Q8</f>
        <v xml:space="preserve"> </v>
      </c>
      <c r="R24" s="61" t="str">
        <f>'Current Representation'!R8</f>
        <v xml:space="preserve"> </v>
      </c>
      <c r="S24" s="61" t="str">
        <f>'Current Representation'!S8</f>
        <v xml:space="preserve"> </v>
      </c>
      <c r="T24" s="61" t="str">
        <f>'Current Representation'!T8</f>
        <v xml:space="preserve"> </v>
      </c>
      <c r="U24" s="61" t="str">
        <f>'Current Representation'!U8</f>
        <v xml:space="preserve"> </v>
      </c>
      <c r="V24" s="61" t="str">
        <f>'Current Representation'!V8</f>
        <v xml:space="preserve"> </v>
      </c>
      <c r="W24" s="61" t="str">
        <f>'Current Representation'!W8</f>
        <v xml:space="preserve"> </v>
      </c>
      <c r="X24" s="61" t="str">
        <f>'Current Representation'!X8</f>
        <v xml:space="preserve"> </v>
      </c>
      <c r="Y24" s="61" t="str">
        <f>'Current Representation'!Y8</f>
        <v xml:space="preserve"> </v>
      </c>
      <c r="Z24" s="61" t="str">
        <f>'Current Representation'!Z8</f>
        <v xml:space="preserve"> </v>
      </c>
      <c r="AA24" s="61" t="str">
        <f>'Current Representation'!AA8</f>
        <v xml:space="preserve"> </v>
      </c>
      <c r="AB24" s="61" t="str">
        <f>'Current Representation'!AB8</f>
        <v xml:space="preserve"> </v>
      </c>
      <c r="AC24" s="61" t="str">
        <f>'Current Representation'!AC8</f>
        <v xml:space="preserve"> </v>
      </c>
      <c r="AD24" s="61" t="str">
        <f>'Current Representation'!AD8</f>
        <v xml:space="preserve"> </v>
      </c>
      <c r="AE24" s="61" t="str">
        <f>'Current Representation'!AE8</f>
        <v xml:space="preserve"> </v>
      </c>
      <c r="AF24" s="61" t="str">
        <f>'Current Representation'!AF8</f>
        <v xml:space="preserve"> </v>
      </c>
      <c r="AG24" s="61" t="str">
        <f>'Current Representation'!AG8</f>
        <v xml:space="preserve"> </v>
      </c>
      <c r="AH24" s="61" t="str">
        <f>'Current Representation'!AH8</f>
        <v xml:space="preserve"> </v>
      </c>
      <c r="AI24" s="27"/>
      <c r="AJ24" s="27"/>
      <c r="AK24" s="27"/>
      <c r="AL24" s="27"/>
      <c r="AM24" s="27"/>
      <c r="AN24" s="27"/>
      <c r="AO24" s="27"/>
      <c r="AP24" s="27"/>
      <c r="AQ24" s="27"/>
      <c r="AR24" s="27"/>
      <c r="AS24" s="27"/>
      <c r="AT24" s="27"/>
    </row>
    <row r="25" spans="1:46" ht="18" customHeight="1" x14ac:dyDescent="0.2">
      <c r="A25" s="48" t="str">
        <f t="shared" si="0"/>
        <v>Advanced Coursework Completion</v>
      </c>
      <c r="B25" s="61" t="str">
        <f>'Current Representation'!B9</f>
        <v xml:space="preserve"> </v>
      </c>
      <c r="C25" s="61" t="str">
        <f>'Current Representation'!C9</f>
        <v xml:space="preserve"> </v>
      </c>
      <c r="D25" s="61" t="str">
        <f>'Current Representation'!D9</f>
        <v xml:space="preserve"> </v>
      </c>
      <c r="E25" s="61" t="str">
        <f>'Current Representation'!E9</f>
        <v xml:space="preserve"> </v>
      </c>
      <c r="F25" s="61" t="str">
        <f>'Current Representation'!F9</f>
        <v xml:space="preserve"> </v>
      </c>
      <c r="G25" s="61" t="str">
        <f>'Current Representation'!G9</f>
        <v xml:space="preserve"> </v>
      </c>
      <c r="H25" s="61" t="str">
        <f>'Current Representation'!H9</f>
        <v xml:space="preserve"> </v>
      </c>
      <c r="I25" s="61" t="str">
        <f>'Current Representation'!I9</f>
        <v xml:space="preserve"> </v>
      </c>
      <c r="J25" s="61" t="str">
        <f>'Current Representation'!J9</f>
        <v xml:space="preserve"> </v>
      </c>
      <c r="K25" s="61" t="str">
        <f>'Current Representation'!K9</f>
        <v xml:space="preserve"> </v>
      </c>
      <c r="L25" s="61" t="str">
        <f>'Current Representation'!L9</f>
        <v xml:space="preserve"> </v>
      </c>
      <c r="M25" s="61" t="str">
        <f>'Current Representation'!M9</f>
        <v xml:space="preserve"> </v>
      </c>
      <c r="N25" s="61" t="str">
        <f>'Current Representation'!N9</f>
        <v xml:space="preserve"> </v>
      </c>
      <c r="O25" s="61" t="str">
        <f>'Current Representation'!O9</f>
        <v xml:space="preserve"> </v>
      </c>
      <c r="P25" s="61" t="str">
        <f>'Current Representation'!P9</f>
        <v xml:space="preserve"> </v>
      </c>
      <c r="Q25" s="61" t="str">
        <f>'Current Representation'!Q9</f>
        <v xml:space="preserve"> </v>
      </c>
      <c r="R25" s="61" t="str">
        <f>'Current Representation'!R9</f>
        <v xml:space="preserve"> </v>
      </c>
      <c r="S25" s="61" t="str">
        <f>'Current Representation'!S9</f>
        <v xml:space="preserve"> </v>
      </c>
      <c r="T25" s="61" t="str">
        <f>'Current Representation'!T9</f>
        <v xml:space="preserve"> </v>
      </c>
      <c r="U25" s="61" t="str">
        <f>'Current Representation'!U9</f>
        <v xml:space="preserve"> </v>
      </c>
      <c r="V25" s="61" t="str">
        <f>'Current Representation'!V9</f>
        <v xml:space="preserve"> </v>
      </c>
      <c r="W25" s="61" t="str">
        <f>'Current Representation'!W9</f>
        <v xml:space="preserve"> </v>
      </c>
      <c r="X25" s="61" t="str">
        <f>'Current Representation'!X9</f>
        <v xml:space="preserve"> </v>
      </c>
      <c r="Y25" s="61" t="str">
        <f>'Current Representation'!Y9</f>
        <v xml:space="preserve"> </v>
      </c>
      <c r="Z25" s="61" t="str">
        <f>'Current Representation'!Z9</f>
        <v xml:space="preserve"> </v>
      </c>
      <c r="AA25" s="61" t="str">
        <f>'Current Representation'!AA9</f>
        <v xml:space="preserve"> </v>
      </c>
      <c r="AB25" s="61" t="str">
        <f>'Current Representation'!AB9</f>
        <v xml:space="preserve"> </v>
      </c>
      <c r="AC25" s="61" t="str">
        <f>'Current Representation'!AC9</f>
        <v xml:space="preserve"> </v>
      </c>
      <c r="AD25" s="61" t="str">
        <f>'Current Representation'!AD9</f>
        <v xml:space="preserve"> </v>
      </c>
      <c r="AE25" s="61" t="str">
        <f>'Current Representation'!AE9</f>
        <v xml:space="preserve"> </v>
      </c>
      <c r="AF25" s="61" t="str">
        <f>'Current Representation'!AF9</f>
        <v xml:space="preserve"> </v>
      </c>
      <c r="AG25" s="61" t="str">
        <f>'Current Representation'!AG9</f>
        <v xml:space="preserve"> </v>
      </c>
      <c r="AH25" s="61" t="str">
        <f>'Current Representation'!AH9</f>
        <v xml:space="preserve"> </v>
      </c>
      <c r="AI25" s="27"/>
      <c r="AJ25" s="27"/>
      <c r="AK25" s="27"/>
      <c r="AL25" s="27"/>
      <c r="AM25" s="27"/>
      <c r="AN25" s="27"/>
      <c r="AO25" s="27"/>
      <c r="AP25" s="27"/>
      <c r="AQ25" s="27"/>
      <c r="AR25" s="27"/>
      <c r="AS25" s="27"/>
      <c r="AT25" s="27"/>
    </row>
    <row r="26" spans="1:46" ht="18" customHeight="1" x14ac:dyDescent="0.2">
      <c r="A26" s="48" t="str">
        <f t="shared" si="0"/>
        <v>Credential Completion</v>
      </c>
      <c r="B26" s="61" t="str">
        <f>'Current Representation'!B10</f>
        <v xml:space="preserve"> </v>
      </c>
      <c r="C26" s="61" t="str">
        <f>'Current Representation'!C10</f>
        <v xml:space="preserve"> </v>
      </c>
      <c r="D26" s="61" t="str">
        <f>'Current Representation'!D10</f>
        <v xml:space="preserve"> </v>
      </c>
      <c r="E26" s="61" t="str">
        <f>'Current Representation'!E10</f>
        <v xml:space="preserve"> </v>
      </c>
      <c r="F26" s="61" t="str">
        <f>'Current Representation'!F10</f>
        <v xml:space="preserve"> </v>
      </c>
      <c r="G26" s="61" t="str">
        <f>'Current Representation'!G10</f>
        <v xml:space="preserve"> </v>
      </c>
      <c r="H26" s="61" t="str">
        <f>'Current Representation'!H10</f>
        <v xml:space="preserve"> </v>
      </c>
      <c r="I26" s="61" t="str">
        <f>'Current Representation'!I10</f>
        <v xml:space="preserve"> </v>
      </c>
      <c r="J26" s="61" t="str">
        <f>'Current Representation'!J10</f>
        <v xml:space="preserve"> </v>
      </c>
      <c r="K26" s="61" t="str">
        <f>'Current Representation'!K10</f>
        <v xml:space="preserve"> </v>
      </c>
      <c r="L26" s="61" t="str">
        <f>'Current Representation'!L10</f>
        <v xml:space="preserve"> </v>
      </c>
      <c r="M26" s="61" t="str">
        <f>'Current Representation'!M10</f>
        <v xml:space="preserve"> </v>
      </c>
      <c r="N26" s="61" t="str">
        <f>'Current Representation'!N10</f>
        <v xml:space="preserve"> </v>
      </c>
      <c r="O26" s="61" t="str">
        <f>'Current Representation'!O10</f>
        <v xml:space="preserve"> </v>
      </c>
      <c r="P26" s="61" t="str">
        <f>'Current Representation'!P10</f>
        <v xml:space="preserve"> </v>
      </c>
      <c r="Q26" s="61" t="str">
        <f>'Current Representation'!Q10</f>
        <v xml:space="preserve"> </v>
      </c>
      <c r="R26" s="61" t="str">
        <f>'Current Representation'!R10</f>
        <v xml:space="preserve"> </v>
      </c>
      <c r="S26" s="61" t="str">
        <f>'Current Representation'!S10</f>
        <v xml:space="preserve"> </v>
      </c>
      <c r="T26" s="61" t="str">
        <f>'Current Representation'!T10</f>
        <v xml:space="preserve"> </v>
      </c>
      <c r="U26" s="61" t="str">
        <f>'Current Representation'!U10</f>
        <v xml:space="preserve"> </v>
      </c>
      <c r="V26" s="61" t="str">
        <f>'Current Representation'!V10</f>
        <v xml:space="preserve"> </v>
      </c>
      <c r="W26" s="61" t="str">
        <f>'Current Representation'!W10</f>
        <v xml:space="preserve"> </v>
      </c>
      <c r="X26" s="61" t="str">
        <f>'Current Representation'!X10</f>
        <v xml:space="preserve"> </v>
      </c>
      <c r="Y26" s="61" t="str">
        <f>'Current Representation'!Y10</f>
        <v xml:space="preserve"> </v>
      </c>
      <c r="Z26" s="61" t="str">
        <f>'Current Representation'!Z10</f>
        <v xml:space="preserve"> </v>
      </c>
      <c r="AA26" s="61" t="str">
        <f>'Current Representation'!AA10</f>
        <v xml:space="preserve"> </v>
      </c>
      <c r="AB26" s="61" t="str">
        <f>'Current Representation'!AB10</f>
        <v xml:space="preserve"> </v>
      </c>
      <c r="AC26" s="61" t="str">
        <f>'Current Representation'!AC10</f>
        <v xml:space="preserve"> </v>
      </c>
      <c r="AD26" s="61" t="str">
        <f>'Current Representation'!AD10</f>
        <v xml:space="preserve"> </v>
      </c>
      <c r="AE26" s="61" t="str">
        <f>'Current Representation'!AE10</f>
        <v xml:space="preserve"> </v>
      </c>
      <c r="AF26" s="61" t="str">
        <f>'Current Representation'!AF10</f>
        <v xml:space="preserve"> </v>
      </c>
      <c r="AG26" s="61" t="str">
        <f>'Current Representation'!AG10</f>
        <v xml:space="preserve"> </v>
      </c>
      <c r="AH26" s="61" t="str">
        <f>'Current Representation'!AH10</f>
        <v xml:space="preserve"> </v>
      </c>
      <c r="AI26" s="27"/>
      <c r="AJ26" s="27"/>
      <c r="AK26" s="27"/>
      <c r="AL26" s="27"/>
      <c r="AM26" s="27"/>
      <c r="AN26" s="27"/>
      <c r="AO26" s="27"/>
      <c r="AP26" s="27"/>
      <c r="AQ26" s="27"/>
      <c r="AR26" s="27"/>
      <c r="AS26" s="27"/>
      <c r="AT26" s="27"/>
    </row>
    <row r="27" spans="1:46" ht="18" customHeight="1" x14ac:dyDescent="0.2">
      <c r="A27" s="48" t="str">
        <f t="shared" si="0"/>
        <v>Placement</v>
      </c>
      <c r="B27" s="61" t="str">
        <f>'Current Representation'!B11</f>
        <v xml:space="preserve"> </v>
      </c>
      <c r="C27" s="61" t="str">
        <f>'Current Representation'!C11</f>
        <v xml:space="preserve"> </v>
      </c>
      <c r="D27" s="61" t="str">
        <f>'Current Representation'!D11</f>
        <v xml:space="preserve"> </v>
      </c>
      <c r="E27" s="61" t="str">
        <f>'Current Representation'!E11</f>
        <v xml:space="preserve"> </v>
      </c>
      <c r="F27" s="61" t="str">
        <f>'Current Representation'!F11</f>
        <v xml:space="preserve"> </v>
      </c>
      <c r="G27" s="61" t="str">
        <f>'Current Representation'!G11</f>
        <v xml:space="preserve"> </v>
      </c>
      <c r="H27" s="61" t="str">
        <f>'Current Representation'!H11</f>
        <v xml:space="preserve"> </v>
      </c>
      <c r="I27" s="61" t="str">
        <f>'Current Representation'!I11</f>
        <v xml:space="preserve"> </v>
      </c>
      <c r="J27" s="61" t="str">
        <f>'Current Representation'!J11</f>
        <v xml:space="preserve"> </v>
      </c>
      <c r="K27" s="61" t="str">
        <f>'Current Representation'!K11</f>
        <v xml:space="preserve"> </v>
      </c>
      <c r="L27" s="61" t="str">
        <f>'Current Representation'!L11</f>
        <v xml:space="preserve"> </v>
      </c>
      <c r="M27" s="61" t="str">
        <f>'Current Representation'!M11</f>
        <v xml:space="preserve"> </v>
      </c>
      <c r="N27" s="61" t="str">
        <f>'Current Representation'!N11</f>
        <v xml:space="preserve"> </v>
      </c>
      <c r="O27" s="61" t="str">
        <f>'Current Representation'!O11</f>
        <v xml:space="preserve"> </v>
      </c>
      <c r="P27" s="61" t="str">
        <f>'Current Representation'!P11</f>
        <v xml:space="preserve"> </v>
      </c>
      <c r="Q27" s="61" t="str">
        <f>'Current Representation'!Q11</f>
        <v xml:space="preserve"> </v>
      </c>
      <c r="R27" s="61" t="str">
        <f>'Current Representation'!R11</f>
        <v xml:space="preserve"> </v>
      </c>
      <c r="S27" s="61" t="str">
        <f>'Current Representation'!S11</f>
        <v xml:space="preserve"> </v>
      </c>
      <c r="T27" s="61" t="str">
        <f>'Current Representation'!T11</f>
        <v xml:space="preserve"> </v>
      </c>
      <c r="U27" s="61" t="str">
        <f>'Current Representation'!U11</f>
        <v xml:space="preserve"> </v>
      </c>
      <c r="V27" s="61" t="str">
        <f>'Current Representation'!V11</f>
        <v xml:space="preserve"> </v>
      </c>
      <c r="W27" s="61" t="str">
        <f>'Current Representation'!W11</f>
        <v xml:space="preserve"> </v>
      </c>
      <c r="X27" s="61" t="str">
        <f>'Current Representation'!X11</f>
        <v xml:space="preserve"> </v>
      </c>
      <c r="Y27" s="61" t="str">
        <f>'Current Representation'!Y11</f>
        <v xml:space="preserve"> </v>
      </c>
      <c r="Z27" s="61" t="str">
        <f>'Current Representation'!Z11</f>
        <v xml:space="preserve"> </v>
      </c>
      <c r="AA27" s="61" t="str">
        <f>'Current Representation'!AA11</f>
        <v xml:space="preserve"> </v>
      </c>
      <c r="AB27" s="61" t="str">
        <f>'Current Representation'!AB11</f>
        <v xml:space="preserve"> </v>
      </c>
      <c r="AC27" s="61" t="str">
        <f>'Current Representation'!AC11</f>
        <v xml:space="preserve"> </v>
      </c>
      <c r="AD27" s="61" t="str">
        <f>'Current Representation'!AD11</f>
        <v xml:space="preserve"> </v>
      </c>
      <c r="AE27" s="61" t="str">
        <f>'Current Representation'!AE11</f>
        <v xml:space="preserve"> </v>
      </c>
      <c r="AF27" s="61" t="str">
        <f>'Current Representation'!AF11</f>
        <v xml:space="preserve"> </v>
      </c>
      <c r="AG27" s="61" t="str">
        <f>'Current Representation'!AG11</f>
        <v xml:space="preserve"> </v>
      </c>
      <c r="AH27" s="61" t="str">
        <f>'Current Representation'!AH11</f>
        <v xml:space="preserve"> </v>
      </c>
      <c r="AI27" s="27"/>
      <c r="AJ27" s="27"/>
      <c r="AK27" s="27"/>
      <c r="AL27" s="27"/>
      <c r="AM27" s="27"/>
      <c r="AN27" s="27"/>
      <c r="AO27" s="27"/>
      <c r="AP27" s="27"/>
      <c r="AQ27" s="27"/>
      <c r="AR27" s="27"/>
      <c r="AS27" s="27"/>
      <c r="AT27" s="27"/>
    </row>
    <row r="28" spans="1:46" ht="18" customHeight="1" x14ac:dyDescent="0.2">
      <c r="A28" s="48" t="str">
        <f t="shared" si="0"/>
        <v>HWHD Placement</v>
      </c>
      <c r="B28" s="61" t="str">
        <f>'Current Representation'!B12</f>
        <v xml:space="preserve"> </v>
      </c>
      <c r="C28" s="61" t="str">
        <f>'Current Representation'!C12</f>
        <v xml:space="preserve"> </v>
      </c>
      <c r="D28" s="61" t="str">
        <f>'Current Representation'!D12</f>
        <v xml:space="preserve"> </v>
      </c>
      <c r="E28" s="61" t="str">
        <f>'Current Representation'!E12</f>
        <v xml:space="preserve"> </v>
      </c>
      <c r="F28" s="61" t="str">
        <f>'Current Representation'!F12</f>
        <v xml:space="preserve"> </v>
      </c>
      <c r="G28" s="61" t="str">
        <f>'Current Representation'!G12</f>
        <v xml:space="preserve"> </v>
      </c>
      <c r="H28" s="61" t="str">
        <f>'Current Representation'!H12</f>
        <v xml:space="preserve"> </v>
      </c>
      <c r="I28" s="61" t="str">
        <f>'Current Representation'!I12</f>
        <v xml:space="preserve"> </v>
      </c>
      <c r="J28" s="61" t="str">
        <f>'Current Representation'!J12</f>
        <v xml:space="preserve"> </v>
      </c>
      <c r="K28" s="61" t="str">
        <f>'Current Representation'!K12</f>
        <v xml:space="preserve"> </v>
      </c>
      <c r="L28" s="61" t="str">
        <f>'Current Representation'!L12</f>
        <v xml:space="preserve"> </v>
      </c>
      <c r="M28" s="61" t="str">
        <f>'Current Representation'!M12</f>
        <v xml:space="preserve"> </v>
      </c>
      <c r="N28" s="61" t="str">
        <f>'Current Representation'!N12</f>
        <v xml:space="preserve"> </v>
      </c>
      <c r="O28" s="61" t="str">
        <f>'Current Representation'!O12</f>
        <v xml:space="preserve"> </v>
      </c>
      <c r="P28" s="61" t="str">
        <f>'Current Representation'!P12</f>
        <v xml:space="preserve"> </v>
      </c>
      <c r="Q28" s="61" t="str">
        <f>'Current Representation'!Q12</f>
        <v xml:space="preserve"> </v>
      </c>
      <c r="R28" s="61" t="str">
        <f>'Current Representation'!R12</f>
        <v xml:space="preserve"> </v>
      </c>
      <c r="S28" s="61" t="str">
        <f>'Current Representation'!S12</f>
        <v xml:space="preserve"> </v>
      </c>
      <c r="T28" s="61" t="str">
        <f>'Current Representation'!T12</f>
        <v xml:space="preserve"> </v>
      </c>
      <c r="U28" s="61" t="str">
        <f>'Current Representation'!U12</f>
        <v xml:space="preserve"> </v>
      </c>
      <c r="V28" s="61" t="str">
        <f>'Current Representation'!V12</f>
        <v xml:space="preserve"> </v>
      </c>
      <c r="W28" s="61" t="str">
        <f>'Current Representation'!W12</f>
        <v xml:space="preserve"> </v>
      </c>
      <c r="X28" s="61" t="str">
        <f>'Current Representation'!X12</f>
        <v xml:space="preserve"> </v>
      </c>
      <c r="Y28" s="61" t="str">
        <f>'Current Representation'!Y12</f>
        <v xml:space="preserve"> </v>
      </c>
      <c r="Z28" s="61" t="str">
        <f>'Current Representation'!Z12</f>
        <v xml:space="preserve"> </v>
      </c>
      <c r="AA28" s="61" t="str">
        <f>'Current Representation'!AA12</f>
        <v xml:space="preserve"> </v>
      </c>
      <c r="AB28" s="61" t="str">
        <f>'Current Representation'!AB12</f>
        <v xml:space="preserve"> </v>
      </c>
      <c r="AC28" s="61" t="str">
        <f>'Current Representation'!AC12</f>
        <v xml:space="preserve"> </v>
      </c>
      <c r="AD28" s="61" t="str">
        <f>'Current Representation'!AD12</f>
        <v xml:space="preserve"> </v>
      </c>
      <c r="AE28" s="61" t="str">
        <f>'Current Representation'!AE12</f>
        <v xml:space="preserve"> </v>
      </c>
      <c r="AF28" s="61" t="str">
        <f>'Current Representation'!AF12</f>
        <v xml:space="preserve"> </v>
      </c>
      <c r="AG28" s="61" t="str">
        <f>'Current Representation'!AG12</f>
        <v xml:space="preserve"> </v>
      </c>
      <c r="AH28" s="61" t="str">
        <f>'Current Representation'!AH12</f>
        <v xml:space="preserve"> </v>
      </c>
      <c r="AI28" s="27"/>
      <c r="AJ28" s="27"/>
      <c r="AK28" s="27"/>
      <c r="AL28" s="27"/>
      <c r="AM28" s="27"/>
      <c r="AN28" s="27"/>
      <c r="AO28" s="27"/>
      <c r="AP28" s="27"/>
      <c r="AQ28" s="27"/>
      <c r="AR28" s="27"/>
      <c r="AS28" s="27"/>
      <c r="AT28" s="27"/>
    </row>
    <row r="29" spans="1:46" ht="18" customHeight="1" x14ac:dyDescent="0.2">
      <c r="A29" s="48" t="str">
        <f t="shared" si="0"/>
        <v>Wages</v>
      </c>
      <c r="B29" s="61" t="str">
        <f>'Current Representation'!B13</f>
        <v xml:space="preserve"> </v>
      </c>
      <c r="C29" s="61" t="str">
        <f>'Current Representation'!C13</f>
        <v xml:space="preserve"> </v>
      </c>
      <c r="D29" s="61" t="str">
        <f>'Current Representation'!D13</f>
        <v xml:space="preserve"> </v>
      </c>
      <c r="E29" s="61" t="str">
        <f>'Current Representation'!E13</f>
        <v xml:space="preserve"> </v>
      </c>
      <c r="F29" s="61" t="str">
        <f>'Current Representation'!F13</f>
        <v xml:space="preserve"> </v>
      </c>
      <c r="G29" s="61" t="str">
        <f>'Current Representation'!G13</f>
        <v xml:space="preserve"> </v>
      </c>
      <c r="H29" s="61" t="str">
        <f>'Current Representation'!H13</f>
        <v xml:space="preserve"> </v>
      </c>
      <c r="I29" s="61" t="str">
        <f>'Current Representation'!I13</f>
        <v xml:space="preserve"> </v>
      </c>
      <c r="J29" s="61" t="str">
        <f>'Current Representation'!J13</f>
        <v xml:space="preserve"> </v>
      </c>
      <c r="K29" s="61" t="str">
        <f>'Current Representation'!K13</f>
        <v xml:space="preserve"> </v>
      </c>
      <c r="L29" s="61" t="str">
        <f>'Current Representation'!L13</f>
        <v xml:space="preserve"> </v>
      </c>
      <c r="M29" s="61" t="str">
        <f>'Current Representation'!M13</f>
        <v xml:space="preserve"> </v>
      </c>
      <c r="N29" s="61" t="str">
        <f>'Current Representation'!N13</f>
        <v xml:space="preserve"> </v>
      </c>
      <c r="O29" s="61" t="str">
        <f>'Current Representation'!O13</f>
        <v xml:space="preserve"> </v>
      </c>
      <c r="P29" s="61" t="str">
        <f>'Current Representation'!P13</f>
        <v xml:space="preserve"> </v>
      </c>
      <c r="Q29" s="61" t="str">
        <f>'Current Representation'!Q13</f>
        <v xml:space="preserve"> </v>
      </c>
      <c r="R29" s="61" t="str">
        <f>'Current Representation'!R13</f>
        <v xml:space="preserve"> </v>
      </c>
      <c r="S29" s="61" t="str">
        <f>'Current Representation'!S13</f>
        <v xml:space="preserve"> </v>
      </c>
      <c r="T29" s="61" t="str">
        <f>'Current Representation'!T13</f>
        <v xml:space="preserve"> </v>
      </c>
      <c r="U29" s="61" t="str">
        <f>'Current Representation'!U13</f>
        <v xml:space="preserve"> </v>
      </c>
      <c r="V29" s="61" t="str">
        <f>'Current Representation'!V13</f>
        <v xml:space="preserve"> </v>
      </c>
      <c r="W29" s="61" t="str">
        <f>'Current Representation'!W13</f>
        <v xml:space="preserve"> </v>
      </c>
      <c r="X29" s="61" t="str">
        <f>'Current Representation'!X13</f>
        <v xml:space="preserve"> </v>
      </c>
      <c r="Y29" s="61" t="str">
        <f>'Current Representation'!Y13</f>
        <v xml:space="preserve"> </v>
      </c>
      <c r="Z29" s="61" t="str">
        <f>'Current Representation'!Z13</f>
        <v xml:space="preserve"> </v>
      </c>
      <c r="AA29" s="61" t="str">
        <f>'Current Representation'!AA13</f>
        <v xml:space="preserve"> </v>
      </c>
      <c r="AB29" s="61" t="str">
        <f>'Current Representation'!AB13</f>
        <v xml:space="preserve"> </v>
      </c>
      <c r="AC29" s="61" t="str">
        <f>'Current Representation'!AC13</f>
        <v xml:space="preserve"> </v>
      </c>
      <c r="AD29" s="61" t="str">
        <f>'Current Representation'!AD13</f>
        <v xml:space="preserve"> </v>
      </c>
      <c r="AE29" s="61" t="str">
        <f>'Current Representation'!AE13</f>
        <v xml:space="preserve"> </v>
      </c>
      <c r="AF29" s="61" t="str">
        <f>'Current Representation'!AF13</f>
        <v xml:space="preserve"> </v>
      </c>
      <c r="AG29" s="61" t="str">
        <f>'Current Representation'!AG13</f>
        <v xml:space="preserve"> </v>
      </c>
      <c r="AH29" s="61" t="str">
        <f>'Current Representation'!AH13</f>
        <v xml:space="preserve"> </v>
      </c>
      <c r="AI29" s="27"/>
      <c r="AJ29" s="27"/>
      <c r="AK29" s="27"/>
      <c r="AL29" s="27"/>
      <c r="AM29" s="27"/>
      <c r="AN29" s="27"/>
      <c r="AO29" s="27"/>
      <c r="AP29" s="27"/>
      <c r="AQ29" s="27"/>
      <c r="AR29" s="27"/>
      <c r="AS29" s="27"/>
      <c r="AT29" s="27"/>
    </row>
    <row r="30" spans="1:46" ht="18" customHeight="1" x14ac:dyDescent="0.2">
      <c r="A30" s="48" t="str">
        <f t="shared" si="0"/>
        <v>HWHD Wages</v>
      </c>
      <c r="B30" s="61" t="str">
        <f>'Current Representation'!B14</f>
        <v xml:space="preserve"> </v>
      </c>
      <c r="C30" s="61" t="str">
        <f>'Current Representation'!C14</f>
        <v xml:space="preserve"> </v>
      </c>
      <c r="D30" s="61" t="str">
        <f>'Current Representation'!D14</f>
        <v xml:space="preserve"> </v>
      </c>
      <c r="E30" s="61" t="str">
        <f>'Current Representation'!E14</f>
        <v xml:space="preserve"> </v>
      </c>
      <c r="F30" s="61" t="str">
        <f>'Current Representation'!F14</f>
        <v xml:space="preserve"> </v>
      </c>
      <c r="G30" s="61" t="str">
        <f>'Current Representation'!G14</f>
        <v xml:space="preserve"> </v>
      </c>
      <c r="H30" s="61" t="str">
        <f>'Current Representation'!H14</f>
        <v xml:space="preserve"> </v>
      </c>
      <c r="I30" s="61" t="str">
        <f>'Current Representation'!I14</f>
        <v xml:space="preserve"> </v>
      </c>
      <c r="J30" s="61" t="str">
        <f>'Current Representation'!J14</f>
        <v xml:space="preserve"> </v>
      </c>
      <c r="K30" s="61" t="str">
        <f>'Current Representation'!K14</f>
        <v xml:space="preserve"> </v>
      </c>
      <c r="L30" s="61" t="str">
        <f>'Current Representation'!L14</f>
        <v xml:space="preserve"> </v>
      </c>
      <c r="M30" s="61" t="str">
        <f>'Current Representation'!M14</f>
        <v xml:space="preserve"> </v>
      </c>
      <c r="N30" s="61" t="str">
        <f>'Current Representation'!N14</f>
        <v xml:space="preserve"> </v>
      </c>
      <c r="O30" s="61" t="str">
        <f>'Current Representation'!O14</f>
        <v xml:space="preserve"> </v>
      </c>
      <c r="P30" s="61" t="str">
        <f>'Current Representation'!P14</f>
        <v xml:space="preserve"> </v>
      </c>
      <c r="Q30" s="61" t="str">
        <f>'Current Representation'!Q14</f>
        <v xml:space="preserve"> </v>
      </c>
      <c r="R30" s="61" t="str">
        <f>'Current Representation'!R14</f>
        <v xml:space="preserve"> </v>
      </c>
      <c r="S30" s="61" t="str">
        <f>'Current Representation'!S14</f>
        <v xml:space="preserve"> </v>
      </c>
      <c r="T30" s="61" t="str">
        <f>'Current Representation'!T14</f>
        <v xml:space="preserve"> </v>
      </c>
      <c r="U30" s="61" t="str">
        <f>'Current Representation'!U14</f>
        <v xml:space="preserve"> </v>
      </c>
      <c r="V30" s="61" t="str">
        <f>'Current Representation'!V14</f>
        <v xml:space="preserve"> </v>
      </c>
      <c r="W30" s="61" t="str">
        <f>'Current Representation'!W14</f>
        <v xml:space="preserve"> </v>
      </c>
      <c r="X30" s="61" t="str">
        <f>'Current Representation'!X14</f>
        <v xml:space="preserve"> </v>
      </c>
      <c r="Y30" s="61" t="str">
        <f>'Current Representation'!Y14</f>
        <v xml:space="preserve"> </v>
      </c>
      <c r="Z30" s="61" t="str">
        <f>'Current Representation'!Z14</f>
        <v xml:space="preserve"> </v>
      </c>
      <c r="AA30" s="61" t="str">
        <f>'Current Representation'!AA14</f>
        <v xml:space="preserve"> </v>
      </c>
      <c r="AB30" s="61" t="str">
        <f>'Current Representation'!AB14</f>
        <v xml:space="preserve"> </v>
      </c>
      <c r="AC30" s="61" t="str">
        <f>'Current Representation'!AC14</f>
        <v xml:space="preserve"> </v>
      </c>
      <c r="AD30" s="61" t="str">
        <f>'Current Representation'!AD14</f>
        <v xml:space="preserve"> </v>
      </c>
      <c r="AE30" s="61" t="str">
        <f>'Current Representation'!AE14</f>
        <v xml:space="preserve"> </v>
      </c>
      <c r="AF30" s="61" t="str">
        <f>'Current Representation'!AF14</f>
        <v xml:space="preserve"> </v>
      </c>
      <c r="AG30" s="61" t="str">
        <f>'Current Representation'!AG14</f>
        <v xml:space="preserve"> </v>
      </c>
      <c r="AH30" s="61" t="str">
        <f>'Current Representation'!AH14</f>
        <v xml:space="preserve"> </v>
      </c>
      <c r="AI30" s="27"/>
      <c r="AJ30" s="27"/>
      <c r="AK30" s="27"/>
      <c r="AL30" s="27"/>
      <c r="AM30" s="27"/>
      <c r="AN30" s="27"/>
      <c r="AO30" s="27"/>
      <c r="AP30" s="27"/>
      <c r="AQ30" s="27"/>
      <c r="AR30" s="27"/>
      <c r="AS30" s="27"/>
      <c r="AT30" s="27"/>
    </row>
    <row r="31" spans="1:46" ht="14.25" customHeight="1" x14ac:dyDescent="0.1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row>
    <row r="32" spans="1:46" ht="33" customHeight="1" x14ac:dyDescent="0.15">
      <c r="A32" s="193" t="s">
        <v>99</v>
      </c>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row>
    <row r="33" spans="1:46" s="14" customFormat="1" ht="21" customHeight="1" x14ac:dyDescent="0.15">
      <c r="A33" s="190" t="s">
        <v>100</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row>
    <row r="34" spans="1:46" s="14" customFormat="1" ht="21" customHeight="1" x14ac:dyDescent="0.15">
      <c r="A34" s="191" t="s">
        <v>101</v>
      </c>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row>
    <row r="35" spans="1:46" s="14" customFormat="1" ht="21" customHeight="1" x14ac:dyDescent="0.15">
      <c r="A35" s="192" t="s">
        <v>102</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row>
    <row r="36" spans="1:46" ht="14.25" customHeight="1"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row>
    <row r="37" spans="1:46" ht="14.25" customHeight="1"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row>
    <row r="38" spans="1:46" ht="14.25" customHeight="1"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row>
    <row r="39" spans="1:46" ht="14.25" customHeight="1"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row>
    <row r="40" spans="1:46" ht="14.25" customHeight="1"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row>
    <row r="41" spans="1:46" ht="14.25" customHeight="1"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row>
    <row r="42" spans="1:46" ht="14.25" customHeight="1"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4.25" customHeight="1"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ht="14.25" customHeight="1"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ht="14.25" customHeight="1"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row>
    <row r="46" spans="1:46" ht="14.25" customHeight="1"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ht="14.25" customHeight="1"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14.25" customHeight="1"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14.25" customHeight="1"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row>
    <row r="50" spans="1:46" ht="14.25" customHeight="1"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row>
    <row r="51" spans="1:46" ht="14.25" customHeight="1"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row>
    <row r="52" spans="1:46" ht="14.25" customHeight="1"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row>
    <row r="53" spans="1:46" ht="14.25" customHeight="1"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row>
    <row r="54" spans="1:46" ht="14.25" customHeight="1"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row>
    <row r="55" spans="1:46" ht="14.25" customHeight="1"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row>
    <row r="56" spans="1:46" ht="14.25" customHeight="1"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row>
    <row r="57" spans="1:46" ht="14.25" customHeight="1"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row>
    <row r="58" spans="1:46" ht="14.25" customHeight="1"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row>
    <row r="59" spans="1:46" ht="14.25" customHeight="1"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14.25" customHeight="1"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14.25" customHeight="1"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14.25" customHeight="1" x14ac:dyDescent="0.1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14.25" customHeight="1" x14ac:dyDescent="0.1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14.25" customHeight="1" x14ac:dyDescent="0.1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14.25" customHeight="1" x14ac:dyDescent="0.1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row>
    <row r="66" spans="1:46" ht="14.25" customHeight="1" x14ac:dyDescent="0.1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row>
    <row r="67" spans="1:46" ht="14.25" customHeight="1" x14ac:dyDescent="0.1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row>
    <row r="68" spans="1:46" ht="14.25" customHeight="1" x14ac:dyDescent="0.1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row>
    <row r="69" spans="1:46" ht="14.25" customHeight="1" x14ac:dyDescent="0.1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row>
    <row r="70" spans="1:46" ht="14.25" customHeight="1" x14ac:dyDescent="0.1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row>
    <row r="71" spans="1:46" ht="14.25" customHeight="1" x14ac:dyDescent="0.1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row>
    <row r="72" spans="1:46" ht="14.25" customHeight="1" x14ac:dyDescent="0.1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14.25" customHeight="1" x14ac:dyDescent="0.1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4.25" customHeight="1" x14ac:dyDescent="0.1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14.25" customHeight="1" x14ac:dyDescent="0.1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14.25" customHeight="1" x14ac:dyDescent="0.1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14.25" customHeight="1" x14ac:dyDescent="0.1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14.25" customHeight="1" x14ac:dyDescent="0.1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row>
    <row r="79" spans="1:46" ht="14.25" customHeight="1" x14ac:dyDescent="0.1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14.25" customHeight="1" x14ac:dyDescent="0.1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14.25" customHeight="1" x14ac:dyDescent="0.1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14.25" customHeight="1" x14ac:dyDescent="0.1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14.25" customHeight="1" x14ac:dyDescent="0.1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14.25" customHeight="1" x14ac:dyDescent="0.1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14.25" customHeight="1" x14ac:dyDescent="0.1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4.25" customHeight="1" x14ac:dyDescent="0.1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14.25" customHeight="1" x14ac:dyDescent="0.1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4.25" customHeight="1" x14ac:dyDescent="0.1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14.25" customHeight="1" x14ac:dyDescent="0.1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4.25" customHeight="1" x14ac:dyDescent="0.1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14.25" customHeight="1" x14ac:dyDescent="0.1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4.25" customHeight="1" x14ac:dyDescent="0.1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4.25" customHeight="1" x14ac:dyDescent="0.1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4.25" customHeight="1" x14ac:dyDescent="0.1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4.25" customHeight="1" x14ac:dyDescent="0.1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4.25" customHeight="1" x14ac:dyDescent="0.1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4.25" customHeight="1" x14ac:dyDescent="0.1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4.25" customHeight="1" x14ac:dyDescent="0.1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14.25" customHeight="1" x14ac:dyDescent="0.1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4.25" customHeight="1" x14ac:dyDescent="0.1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14.25" customHeight="1" x14ac:dyDescent="0.1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4.25" customHeight="1" x14ac:dyDescent="0.1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4.25" customHeight="1" x14ac:dyDescent="0.1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4.25" customHeight="1" x14ac:dyDescent="0.1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4.25" customHeight="1" x14ac:dyDescent="0.1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4.25" customHeight="1" x14ac:dyDescent="0.1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4.25" customHeight="1" x14ac:dyDescent="0.1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4.25" customHeight="1" x14ac:dyDescent="0.1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4.25" customHeight="1" x14ac:dyDescent="0.1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4.25" customHeight="1" x14ac:dyDescent="0.1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4.25" customHeight="1" x14ac:dyDescent="0.1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4.25" customHeight="1" x14ac:dyDescent="0.1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4.25" customHeight="1" x14ac:dyDescent="0.1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4.25" customHeight="1" x14ac:dyDescent="0.1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4.25" customHeight="1" x14ac:dyDescent="0.1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4.25" customHeight="1" x14ac:dyDescent="0.1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4.25" customHeight="1" x14ac:dyDescent="0.1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4.25" customHeight="1" x14ac:dyDescent="0.1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4.25" customHeight="1" x14ac:dyDescent="0.1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4.25" customHeight="1" x14ac:dyDescent="0.1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4.25" customHeight="1" x14ac:dyDescent="0.1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4.25" customHeight="1" x14ac:dyDescent="0.1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4.25" customHeight="1" x14ac:dyDescent="0.1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4.25" customHeight="1" x14ac:dyDescent="0.1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4.25" customHeight="1" x14ac:dyDescent="0.1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4.25" customHeight="1" x14ac:dyDescent="0.1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4.25" customHeight="1" x14ac:dyDescent="0.1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4.25" customHeight="1" x14ac:dyDescent="0.1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4.25" customHeight="1" x14ac:dyDescent="0.1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4.25" customHeight="1" x14ac:dyDescent="0.1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4.25" customHeight="1" x14ac:dyDescent="0.1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4.25" customHeight="1" x14ac:dyDescent="0.1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4.25" customHeight="1" x14ac:dyDescent="0.1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4.25" customHeight="1" x14ac:dyDescent="0.1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4.25" customHeight="1" x14ac:dyDescent="0.1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4.25" customHeight="1" x14ac:dyDescent="0.1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4.25" customHeight="1" x14ac:dyDescent="0.1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4.25" customHeight="1" x14ac:dyDescent="0.1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4.25" customHeight="1" x14ac:dyDescent="0.1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4.25" customHeight="1" x14ac:dyDescent="0.1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4.25" customHeight="1" x14ac:dyDescent="0.1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4.25" customHeight="1" x14ac:dyDescent="0.1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4.25" customHeight="1" x14ac:dyDescent="0.1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4.25" customHeight="1" x14ac:dyDescent="0.1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4.25" customHeight="1" x14ac:dyDescent="0.1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4.25" customHeight="1" x14ac:dyDescent="0.1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4.25" customHeight="1" x14ac:dyDescent="0.1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4.25" customHeight="1" x14ac:dyDescent="0.1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4.25" customHeight="1" x14ac:dyDescent="0.1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4.25" customHeight="1" x14ac:dyDescent="0.1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4.25" customHeight="1" x14ac:dyDescent="0.1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4.25" customHeight="1" x14ac:dyDescent="0.1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4.25" customHeight="1" x14ac:dyDescent="0.1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4.25" customHeight="1" x14ac:dyDescent="0.1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4.25" customHeight="1" x14ac:dyDescent="0.1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4.25" customHeight="1" x14ac:dyDescent="0.1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4.25" customHeight="1" x14ac:dyDescent="0.1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4.25" customHeight="1" x14ac:dyDescent="0.1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4.25" customHeight="1" x14ac:dyDescent="0.1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4.25" customHeight="1" x14ac:dyDescent="0.1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4.25" customHeight="1" x14ac:dyDescent="0.1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4.25" customHeight="1" x14ac:dyDescent="0.1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4.25" customHeight="1" x14ac:dyDescent="0.1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4.25" customHeight="1" x14ac:dyDescent="0.1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4.25" customHeight="1" x14ac:dyDescent="0.1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4.25" customHeight="1" x14ac:dyDescent="0.1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4.25" customHeight="1" x14ac:dyDescent="0.1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4.25" customHeight="1" x14ac:dyDescent="0.1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4.25" customHeight="1" x14ac:dyDescent="0.1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4.25" customHeight="1" x14ac:dyDescent="0.1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4.25" customHeight="1" x14ac:dyDescent="0.1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4.25" customHeight="1" x14ac:dyDescent="0.1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4.25" customHeight="1" x14ac:dyDescent="0.1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4.25" customHeight="1" x14ac:dyDescent="0.1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4.25" customHeight="1" x14ac:dyDescent="0.1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4.25" customHeight="1" x14ac:dyDescent="0.1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4.25" customHeight="1" x14ac:dyDescent="0.1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4.25" customHeight="1" x14ac:dyDescent="0.1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4.25" customHeight="1" x14ac:dyDescent="0.1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4.25" customHeight="1" x14ac:dyDescent="0.1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4.25" customHeight="1" x14ac:dyDescent="0.1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4.25" customHeight="1" x14ac:dyDescent="0.1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4.25" customHeight="1" x14ac:dyDescent="0.1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4.25" customHeight="1" x14ac:dyDescent="0.1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4.25" customHeight="1" x14ac:dyDescent="0.1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4.25" customHeight="1" x14ac:dyDescent="0.1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4.25" customHeight="1" x14ac:dyDescent="0.1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4.25" customHeight="1" x14ac:dyDescent="0.1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4.25" customHeight="1" x14ac:dyDescent="0.1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4.25" customHeight="1" x14ac:dyDescent="0.1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4.25" customHeight="1" x14ac:dyDescent="0.1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4.25" customHeight="1" x14ac:dyDescent="0.1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4.25" customHeight="1" x14ac:dyDescent="0.1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4.25" customHeight="1" x14ac:dyDescent="0.1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4.25" customHeight="1" x14ac:dyDescent="0.1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4.25" customHeight="1" x14ac:dyDescent="0.1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4.25" customHeight="1" x14ac:dyDescent="0.1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4.25" customHeight="1" x14ac:dyDescent="0.1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4.25" customHeight="1" x14ac:dyDescent="0.1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4.25" customHeight="1" x14ac:dyDescent="0.1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4.25" customHeight="1" x14ac:dyDescent="0.1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4.25" customHeight="1" x14ac:dyDescent="0.1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4.25" customHeight="1" x14ac:dyDescent="0.1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4.25" customHeight="1" x14ac:dyDescent="0.1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4.25" customHeight="1" x14ac:dyDescent="0.1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4.25" customHeight="1" x14ac:dyDescent="0.1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4.25" customHeight="1" x14ac:dyDescent="0.1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4.25" customHeight="1" x14ac:dyDescent="0.1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4.25" customHeight="1" x14ac:dyDescent="0.1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4.25" customHeight="1" x14ac:dyDescent="0.1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4.25" customHeight="1" x14ac:dyDescent="0.1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4.25" customHeight="1" x14ac:dyDescent="0.1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4.25" customHeight="1" x14ac:dyDescent="0.1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4.25" customHeight="1" x14ac:dyDescent="0.1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4.25" customHeight="1" x14ac:dyDescent="0.1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4.25" customHeight="1" x14ac:dyDescent="0.1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row>
    <row r="217" spans="1:46" ht="14.25" customHeight="1" x14ac:dyDescent="0.1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row>
    <row r="218" spans="1:46" ht="15.75" customHeight="1" x14ac:dyDescent="0.15"/>
    <row r="219" spans="1:46" ht="15.75" customHeight="1" x14ac:dyDescent="0.15"/>
    <row r="220" spans="1:46" ht="15.75" customHeight="1" x14ac:dyDescent="0.15"/>
    <row r="221" spans="1:46" ht="15.75" customHeight="1" x14ac:dyDescent="0.15"/>
    <row r="222" spans="1:46" ht="15.75" customHeight="1" x14ac:dyDescent="0.15"/>
    <row r="223" spans="1:46" ht="15.75" customHeight="1" x14ac:dyDescent="0.15"/>
    <row r="224" spans="1:46" ht="15.75" customHeight="1" x14ac:dyDescent="0.15"/>
    <row r="225" s="8" customFormat="1" ht="15.75" customHeight="1" x14ac:dyDescent="0.15"/>
    <row r="226" s="8" customFormat="1" ht="15.75" customHeight="1" x14ac:dyDescent="0.15"/>
    <row r="227" s="8" customFormat="1" ht="15.75" customHeight="1" x14ac:dyDescent="0.15"/>
    <row r="228" s="8" customFormat="1" ht="15.75" customHeight="1" x14ac:dyDescent="0.15"/>
    <row r="229" s="8" customFormat="1" ht="15.75" customHeight="1" x14ac:dyDescent="0.15"/>
    <row r="230" s="8" customFormat="1" ht="15.75" customHeight="1" x14ac:dyDescent="0.15"/>
    <row r="231" s="8" customFormat="1" ht="15.75" customHeight="1" x14ac:dyDescent="0.15"/>
    <row r="232" s="8" customFormat="1" ht="15.75" customHeight="1" x14ac:dyDescent="0.15"/>
    <row r="233" s="8" customFormat="1" ht="15.75" customHeight="1" x14ac:dyDescent="0.15"/>
    <row r="234" s="8" customFormat="1" ht="15.75" customHeight="1" x14ac:dyDescent="0.15"/>
    <row r="235" s="8" customFormat="1" ht="15.75" customHeight="1" x14ac:dyDescent="0.15"/>
    <row r="236" s="8" customFormat="1" ht="15.75" customHeight="1" x14ac:dyDescent="0.15"/>
    <row r="237" s="8" customFormat="1" ht="15.75" customHeight="1" x14ac:dyDescent="0.15"/>
    <row r="238" s="8" customFormat="1" ht="15.75" customHeight="1" x14ac:dyDescent="0.15"/>
    <row r="239" s="8" customFormat="1" ht="15.75" customHeight="1" x14ac:dyDescent="0.15"/>
    <row r="240" s="8" customFormat="1" ht="15.75" customHeight="1" x14ac:dyDescent="0.15"/>
    <row r="241" s="8" customFormat="1" ht="15.75" customHeight="1" x14ac:dyDescent="0.15"/>
    <row r="242" s="8" customFormat="1" ht="15.75" customHeight="1" x14ac:dyDescent="0.15"/>
    <row r="243" s="8" customFormat="1" ht="15.75" customHeight="1" x14ac:dyDescent="0.15"/>
    <row r="244" s="8" customFormat="1" ht="15.75" customHeight="1" x14ac:dyDescent="0.15"/>
    <row r="245" s="8" customFormat="1" ht="15.75" customHeight="1" x14ac:dyDescent="0.15"/>
    <row r="246" s="8" customFormat="1" ht="15.75" customHeight="1" x14ac:dyDescent="0.15"/>
    <row r="247" s="8" customFormat="1" ht="15.75" customHeight="1" x14ac:dyDescent="0.15"/>
    <row r="248" s="8" customFormat="1" ht="15.75" customHeight="1" x14ac:dyDescent="0.15"/>
    <row r="249" s="8" customFormat="1" ht="15.75" customHeight="1" x14ac:dyDescent="0.15"/>
    <row r="250" s="8" customFormat="1" ht="15.75" customHeight="1" x14ac:dyDescent="0.15"/>
    <row r="251" s="8" customFormat="1" ht="15.75" customHeight="1" x14ac:dyDescent="0.15"/>
    <row r="252" s="8" customFormat="1" ht="15.75" customHeight="1" x14ac:dyDescent="0.15"/>
    <row r="253" s="8" customFormat="1" ht="15.75" customHeight="1" x14ac:dyDescent="0.15"/>
    <row r="254" s="8" customFormat="1" ht="15.75" customHeight="1" x14ac:dyDescent="0.15"/>
    <row r="255" s="8" customFormat="1" ht="15.75" customHeight="1" x14ac:dyDescent="0.15"/>
    <row r="256" s="8" customFormat="1" ht="15.75" customHeight="1" x14ac:dyDescent="0.15"/>
    <row r="257" s="8" customFormat="1" ht="15.75" customHeight="1" x14ac:dyDescent="0.15"/>
    <row r="258" s="8" customFormat="1" ht="15.75" customHeight="1" x14ac:dyDescent="0.15"/>
    <row r="259" s="8" customFormat="1" ht="15.75" customHeight="1" x14ac:dyDescent="0.15"/>
    <row r="260" s="8" customFormat="1" ht="15.75" customHeight="1" x14ac:dyDescent="0.15"/>
    <row r="261" s="8" customFormat="1" ht="15.75" customHeight="1" x14ac:dyDescent="0.15"/>
    <row r="262" s="8" customFormat="1" ht="15.75" customHeight="1" x14ac:dyDescent="0.15"/>
    <row r="263" s="8" customFormat="1" ht="15.75" customHeight="1" x14ac:dyDescent="0.15"/>
    <row r="264" s="8" customFormat="1" ht="15.75" customHeight="1" x14ac:dyDescent="0.15"/>
    <row r="265" s="8" customFormat="1" ht="15.75" customHeight="1" x14ac:dyDescent="0.15"/>
    <row r="266" s="8" customFormat="1" ht="15.75" customHeight="1" x14ac:dyDescent="0.15"/>
    <row r="267" s="8" customFormat="1" ht="15.75" customHeight="1" x14ac:dyDescent="0.15"/>
    <row r="268" s="8" customFormat="1" ht="15.75" customHeight="1" x14ac:dyDescent="0.15"/>
    <row r="269" s="8" customFormat="1" ht="15.75" customHeight="1" x14ac:dyDescent="0.15"/>
    <row r="270" s="8" customFormat="1" ht="15.75" customHeight="1" x14ac:dyDescent="0.15"/>
    <row r="271" s="8" customFormat="1" ht="15.75" customHeight="1" x14ac:dyDescent="0.15"/>
    <row r="272" s="8" customFormat="1" ht="15.75" customHeight="1" x14ac:dyDescent="0.15"/>
    <row r="273" s="8" customFormat="1" ht="15.75" customHeight="1" x14ac:dyDescent="0.15"/>
    <row r="274" s="8" customFormat="1" ht="15.75" customHeight="1" x14ac:dyDescent="0.15"/>
    <row r="275" s="8" customFormat="1" ht="15.75" customHeight="1" x14ac:dyDescent="0.15"/>
    <row r="276" s="8" customFormat="1" ht="15.75" customHeight="1" x14ac:dyDescent="0.15"/>
    <row r="277" s="8" customFormat="1" ht="15.75" customHeight="1" x14ac:dyDescent="0.15"/>
    <row r="278" s="8" customFormat="1" ht="15.75" customHeight="1" x14ac:dyDescent="0.15"/>
    <row r="279" s="8" customFormat="1" ht="15.75" customHeight="1" x14ac:dyDescent="0.15"/>
    <row r="280" s="8" customFormat="1" ht="15.75" customHeight="1" x14ac:dyDescent="0.15"/>
    <row r="281" s="8" customFormat="1" ht="15.75" customHeight="1" x14ac:dyDescent="0.15"/>
    <row r="282" s="8" customFormat="1" ht="15.75" customHeight="1" x14ac:dyDescent="0.15"/>
    <row r="283" s="8" customFormat="1" ht="15.75" customHeight="1" x14ac:dyDescent="0.15"/>
    <row r="284" s="8" customFormat="1" ht="15.75" customHeight="1" x14ac:dyDescent="0.15"/>
    <row r="285" s="8" customFormat="1" ht="15.75" customHeight="1" x14ac:dyDescent="0.15"/>
    <row r="286" s="8" customFormat="1" ht="15.75" customHeight="1" x14ac:dyDescent="0.15"/>
    <row r="287" s="8" customFormat="1" ht="15.75" customHeight="1" x14ac:dyDescent="0.15"/>
    <row r="288" s="8" customFormat="1" ht="15.75" customHeight="1" x14ac:dyDescent="0.15"/>
    <row r="289" s="8" customFormat="1" ht="15.75" customHeight="1" x14ac:dyDescent="0.15"/>
    <row r="290" s="8" customFormat="1" ht="15.75" customHeight="1" x14ac:dyDescent="0.15"/>
    <row r="291" s="8" customFormat="1" ht="15.75" customHeight="1" x14ac:dyDescent="0.15"/>
    <row r="292" s="8" customFormat="1" ht="15.75" customHeight="1" x14ac:dyDescent="0.15"/>
    <row r="293" s="8" customFormat="1" ht="15.75" customHeight="1" x14ac:dyDescent="0.15"/>
    <row r="294" s="8" customFormat="1" ht="15.75" customHeight="1" x14ac:dyDescent="0.15"/>
    <row r="295" s="8" customFormat="1" ht="15.75" customHeight="1" x14ac:dyDescent="0.15"/>
    <row r="296" s="8" customFormat="1" ht="15.75" customHeight="1" x14ac:dyDescent="0.15"/>
    <row r="297" s="8" customFormat="1" ht="15.75" customHeight="1" x14ac:dyDescent="0.15"/>
    <row r="298" s="8" customFormat="1" ht="15.75" customHeight="1" x14ac:dyDescent="0.15"/>
    <row r="299" s="8" customFormat="1" ht="15.75" customHeight="1" x14ac:dyDescent="0.15"/>
    <row r="300" s="8" customFormat="1" ht="15.75" customHeight="1" x14ac:dyDescent="0.15"/>
    <row r="301" s="8" customFormat="1" ht="15.75" customHeight="1" x14ac:dyDescent="0.15"/>
    <row r="302" s="8" customFormat="1" ht="15.75" customHeight="1" x14ac:dyDescent="0.15"/>
    <row r="303" s="8" customFormat="1" ht="15.75" customHeight="1" x14ac:dyDescent="0.15"/>
    <row r="304" s="8" customFormat="1" ht="15.75" customHeight="1" x14ac:dyDescent="0.15"/>
    <row r="305" s="8" customFormat="1" ht="15.75" customHeight="1" x14ac:dyDescent="0.15"/>
    <row r="306" s="8" customFormat="1" ht="15.75" customHeight="1" x14ac:dyDescent="0.15"/>
    <row r="307" s="8" customFormat="1" ht="15.75" customHeight="1" x14ac:dyDescent="0.15"/>
    <row r="308" s="8" customFormat="1" ht="15.75" customHeight="1" x14ac:dyDescent="0.15"/>
    <row r="309" s="8" customFormat="1" ht="15.75" customHeight="1" x14ac:dyDescent="0.15"/>
    <row r="310" s="8" customFormat="1" ht="15.75" customHeight="1" x14ac:dyDescent="0.15"/>
    <row r="311" s="8" customFormat="1" ht="15.75" customHeight="1" x14ac:dyDescent="0.15"/>
    <row r="312" s="8" customFormat="1" ht="15.75" customHeight="1" x14ac:dyDescent="0.15"/>
    <row r="313" s="8" customFormat="1" ht="15.75" customHeight="1" x14ac:dyDescent="0.15"/>
    <row r="314" s="8" customFormat="1" ht="15.75" customHeight="1" x14ac:dyDescent="0.15"/>
    <row r="315" s="8" customFormat="1" ht="15.75" customHeight="1" x14ac:dyDescent="0.15"/>
    <row r="316" s="8" customFormat="1" ht="15.75" customHeight="1" x14ac:dyDescent="0.15"/>
    <row r="317" s="8" customFormat="1" ht="15.75" customHeight="1" x14ac:dyDescent="0.15"/>
    <row r="318" s="8" customFormat="1" ht="15.75" customHeight="1" x14ac:dyDescent="0.15"/>
    <row r="319" s="8" customFormat="1" ht="15.75" customHeight="1" x14ac:dyDescent="0.15"/>
    <row r="320" s="8" customFormat="1" ht="15.75" customHeight="1" x14ac:dyDescent="0.15"/>
    <row r="321" s="8" customFormat="1" ht="15.75" customHeight="1" x14ac:dyDescent="0.15"/>
    <row r="322" s="8" customFormat="1" ht="15.75" customHeight="1" x14ac:dyDescent="0.15"/>
    <row r="323" s="8" customFormat="1" ht="15.75" customHeight="1" x14ac:dyDescent="0.15"/>
    <row r="324" s="8" customFormat="1" ht="15.75" customHeight="1" x14ac:dyDescent="0.15"/>
    <row r="325" s="8" customFormat="1" ht="15.75" customHeight="1" x14ac:dyDescent="0.15"/>
    <row r="326" s="8" customFormat="1" ht="15.75" customHeight="1" x14ac:dyDescent="0.15"/>
    <row r="327" s="8" customFormat="1" ht="15.75" customHeight="1" x14ac:dyDescent="0.15"/>
    <row r="328" s="8" customFormat="1" ht="15.75" customHeight="1" x14ac:dyDescent="0.15"/>
    <row r="329" s="8" customFormat="1" ht="15.75" customHeight="1" x14ac:dyDescent="0.15"/>
    <row r="330" s="8" customFormat="1" ht="15.75" customHeight="1" x14ac:dyDescent="0.15"/>
    <row r="331" s="8" customFormat="1" ht="15.75" customHeight="1" x14ac:dyDescent="0.15"/>
    <row r="332" s="8" customFormat="1" ht="15.75" customHeight="1" x14ac:dyDescent="0.15"/>
    <row r="333" s="8" customFormat="1" ht="15.75" customHeight="1" x14ac:dyDescent="0.15"/>
    <row r="334" s="8" customFormat="1" ht="15.75" customHeight="1" x14ac:dyDescent="0.15"/>
    <row r="335" s="8" customFormat="1" ht="15.75" customHeight="1" x14ac:dyDescent="0.15"/>
    <row r="336" s="8" customFormat="1" ht="15.75" customHeight="1" x14ac:dyDescent="0.15"/>
    <row r="337" s="8" customFormat="1" ht="15.75" customHeight="1" x14ac:dyDescent="0.15"/>
    <row r="338" s="8" customFormat="1" ht="15.75" customHeight="1" x14ac:dyDescent="0.15"/>
    <row r="339" s="8" customFormat="1" ht="15.75" customHeight="1" x14ac:dyDescent="0.15"/>
    <row r="340" s="8" customFormat="1" ht="15.75" customHeight="1" x14ac:dyDescent="0.15"/>
    <row r="341" s="8" customFormat="1" ht="15.75" customHeight="1" x14ac:dyDescent="0.15"/>
    <row r="342" s="8" customFormat="1" ht="15.75" customHeight="1" x14ac:dyDescent="0.15"/>
    <row r="343" s="8" customFormat="1" ht="15.75" customHeight="1" x14ac:dyDescent="0.15"/>
    <row r="344" s="8" customFormat="1" ht="15.75" customHeight="1" x14ac:dyDescent="0.15"/>
    <row r="345" s="8" customFormat="1" ht="15.75" customHeight="1" x14ac:dyDescent="0.15"/>
    <row r="346" s="8" customFormat="1" ht="15.75" customHeight="1" x14ac:dyDescent="0.15"/>
    <row r="347" s="8" customFormat="1" ht="15.75" customHeight="1" x14ac:dyDescent="0.15"/>
    <row r="348" s="8" customFormat="1" ht="15.75" customHeight="1" x14ac:dyDescent="0.15"/>
    <row r="349" s="8" customFormat="1" ht="15.75" customHeight="1" x14ac:dyDescent="0.15"/>
    <row r="350" s="8" customFormat="1" ht="15.75" customHeight="1" x14ac:dyDescent="0.15"/>
    <row r="351" s="8" customFormat="1" ht="15.75" customHeight="1" x14ac:dyDescent="0.15"/>
    <row r="352" s="8" customFormat="1" ht="15.75" customHeight="1" x14ac:dyDescent="0.15"/>
    <row r="353" s="8" customFormat="1" ht="15.75" customHeight="1" x14ac:dyDescent="0.15"/>
    <row r="354" s="8" customFormat="1" ht="15.75" customHeight="1" x14ac:dyDescent="0.15"/>
    <row r="355" s="8" customFormat="1" ht="15.75" customHeight="1" x14ac:dyDescent="0.15"/>
    <row r="356" s="8" customFormat="1" ht="15.75" customHeight="1" x14ac:dyDescent="0.15"/>
    <row r="357" s="8" customFormat="1" ht="15.75" customHeight="1" x14ac:dyDescent="0.15"/>
    <row r="358" s="8" customFormat="1" ht="15.75" customHeight="1" x14ac:dyDescent="0.15"/>
    <row r="359" s="8" customFormat="1" ht="15.75" customHeight="1" x14ac:dyDescent="0.15"/>
    <row r="360" s="8" customFormat="1" ht="15.75" customHeight="1" x14ac:dyDescent="0.15"/>
    <row r="361" s="8" customFormat="1" ht="15.75" customHeight="1" x14ac:dyDescent="0.15"/>
    <row r="362" s="8" customFormat="1" ht="15.75" customHeight="1" x14ac:dyDescent="0.15"/>
    <row r="363" s="8" customFormat="1" ht="15.75" customHeight="1" x14ac:dyDescent="0.15"/>
    <row r="364" s="8" customFormat="1" ht="15.75" customHeight="1" x14ac:dyDescent="0.15"/>
    <row r="365" s="8" customFormat="1" ht="15.75" customHeight="1" x14ac:dyDescent="0.15"/>
    <row r="366" s="8" customFormat="1" ht="15.75" customHeight="1" x14ac:dyDescent="0.15"/>
    <row r="367" s="8" customFormat="1" ht="15.75" customHeight="1" x14ac:dyDescent="0.15"/>
    <row r="368" s="8" customFormat="1" ht="15.75" customHeight="1" x14ac:dyDescent="0.15"/>
    <row r="369" s="8" customFormat="1" ht="15.75" customHeight="1" x14ac:dyDescent="0.15"/>
    <row r="370" s="8" customFormat="1" ht="15.75" customHeight="1" x14ac:dyDescent="0.15"/>
    <row r="371" s="8" customFormat="1" ht="15.75" customHeight="1" x14ac:dyDescent="0.15"/>
    <row r="372" s="8" customFormat="1" ht="15.75" customHeight="1" x14ac:dyDescent="0.15"/>
    <row r="373" s="8" customFormat="1" ht="15.75" customHeight="1" x14ac:dyDescent="0.15"/>
    <row r="374" s="8" customFormat="1" ht="15.75" customHeight="1" x14ac:dyDescent="0.15"/>
    <row r="375" s="8" customFormat="1" ht="15.75" customHeight="1" x14ac:dyDescent="0.15"/>
    <row r="376" s="8" customFormat="1" ht="15.75" customHeight="1" x14ac:dyDescent="0.15"/>
    <row r="377" s="8" customFormat="1" ht="15.75" customHeight="1" x14ac:dyDescent="0.15"/>
    <row r="378" s="8" customFormat="1" ht="15.75" customHeight="1" x14ac:dyDescent="0.15"/>
    <row r="379" s="8" customFormat="1" ht="15.75" customHeight="1" x14ac:dyDescent="0.15"/>
    <row r="380" s="8" customFormat="1" ht="15.75" customHeight="1" x14ac:dyDescent="0.15"/>
    <row r="381" s="8" customFormat="1" ht="15.75" customHeight="1" x14ac:dyDescent="0.15"/>
    <row r="382" s="8" customFormat="1" ht="15.75" customHeight="1" x14ac:dyDescent="0.15"/>
    <row r="383" s="8" customFormat="1" ht="15.75" customHeight="1" x14ac:dyDescent="0.15"/>
    <row r="384" s="8" customFormat="1" ht="15.75" customHeight="1" x14ac:dyDescent="0.15"/>
    <row r="385" s="8" customFormat="1" ht="15.75" customHeight="1" x14ac:dyDescent="0.15"/>
    <row r="386" s="8" customFormat="1" ht="15.75" customHeight="1" x14ac:dyDescent="0.15"/>
    <row r="387" s="8" customFormat="1" ht="15.75" customHeight="1" x14ac:dyDescent="0.15"/>
    <row r="388" s="8" customFormat="1" ht="15.75" customHeight="1" x14ac:dyDescent="0.15"/>
    <row r="389" s="8" customFormat="1" ht="15.75" customHeight="1" x14ac:dyDescent="0.15"/>
    <row r="390" s="8" customFormat="1" ht="15.75" customHeight="1" x14ac:dyDescent="0.15"/>
    <row r="391" s="8" customFormat="1" ht="15.75" customHeight="1" x14ac:dyDescent="0.15"/>
    <row r="392" s="8" customFormat="1" ht="15.75" customHeight="1" x14ac:dyDescent="0.15"/>
    <row r="393" s="8" customFormat="1" ht="15.75" customHeight="1" x14ac:dyDescent="0.15"/>
    <row r="394" s="8" customFormat="1" ht="15.75" customHeight="1" x14ac:dyDescent="0.15"/>
    <row r="395" s="8" customFormat="1" ht="15.75" customHeight="1" x14ac:dyDescent="0.15"/>
    <row r="396" s="8" customFormat="1" ht="15.75" customHeight="1" x14ac:dyDescent="0.15"/>
    <row r="397" s="8" customFormat="1" ht="15.75" customHeight="1" x14ac:dyDescent="0.15"/>
    <row r="398" s="8" customFormat="1" ht="15.75" customHeight="1" x14ac:dyDescent="0.15"/>
    <row r="399" s="8" customFormat="1" ht="15.75" customHeight="1" x14ac:dyDescent="0.15"/>
    <row r="400" s="8" customFormat="1" ht="15.75" customHeight="1" x14ac:dyDescent="0.15"/>
    <row r="401" s="8" customFormat="1" ht="15.75" customHeight="1" x14ac:dyDescent="0.15"/>
    <row r="402" s="8" customFormat="1" ht="15.75" customHeight="1" x14ac:dyDescent="0.15"/>
    <row r="403" s="8" customFormat="1" ht="15.75" customHeight="1" x14ac:dyDescent="0.15"/>
    <row r="404" s="8" customFormat="1" ht="15.75" customHeight="1" x14ac:dyDescent="0.15"/>
    <row r="405" s="8" customFormat="1" ht="15.75" customHeight="1" x14ac:dyDescent="0.15"/>
    <row r="406" s="8" customFormat="1" ht="15.75" customHeight="1" x14ac:dyDescent="0.15"/>
    <row r="407" s="8" customFormat="1" ht="15.75" customHeight="1" x14ac:dyDescent="0.15"/>
    <row r="408" s="8" customFormat="1" ht="15.75" customHeight="1" x14ac:dyDescent="0.15"/>
    <row r="409" s="8" customFormat="1" ht="15.75" customHeight="1" x14ac:dyDescent="0.15"/>
    <row r="410" s="8" customFormat="1" ht="15.75" customHeight="1" x14ac:dyDescent="0.15"/>
    <row r="411" s="8" customFormat="1" ht="15.75" customHeight="1" x14ac:dyDescent="0.15"/>
    <row r="412" s="8" customFormat="1" ht="15.75" customHeight="1" x14ac:dyDescent="0.15"/>
    <row r="413" s="8" customFormat="1" ht="15.75" customHeight="1" x14ac:dyDescent="0.15"/>
    <row r="414" s="8" customFormat="1" ht="15.75" customHeight="1" x14ac:dyDescent="0.15"/>
    <row r="415" s="8" customFormat="1" ht="15.75" customHeight="1" x14ac:dyDescent="0.15"/>
    <row r="416" s="8" customFormat="1" ht="15.75" customHeight="1" x14ac:dyDescent="0.15"/>
    <row r="417" s="8" customFormat="1" ht="15.75" customHeight="1" x14ac:dyDescent="0.15"/>
    <row r="418" s="8" customFormat="1" ht="15.75" customHeight="1" x14ac:dyDescent="0.15"/>
    <row r="419" s="8" customFormat="1" ht="15.75" customHeight="1" x14ac:dyDescent="0.15"/>
    <row r="420" s="8" customFormat="1" ht="15.75" customHeight="1" x14ac:dyDescent="0.15"/>
    <row r="421" s="8" customFormat="1" ht="15.75" customHeight="1" x14ac:dyDescent="0.15"/>
    <row r="422" s="8" customFormat="1" ht="15.75" customHeight="1" x14ac:dyDescent="0.15"/>
    <row r="423" s="8" customFormat="1" ht="15.75" customHeight="1" x14ac:dyDescent="0.15"/>
    <row r="424" s="8" customFormat="1" ht="15.75" customHeight="1" x14ac:dyDescent="0.15"/>
    <row r="425" s="8" customFormat="1" ht="15.75" customHeight="1" x14ac:dyDescent="0.15"/>
    <row r="426" s="8" customFormat="1" ht="15.75" customHeight="1" x14ac:dyDescent="0.15"/>
    <row r="427" s="8" customFormat="1" ht="15.75" customHeight="1" x14ac:dyDescent="0.15"/>
    <row r="428" s="8" customFormat="1" ht="15.75" customHeight="1" x14ac:dyDescent="0.15"/>
    <row r="429" s="8" customFormat="1" ht="15.75" customHeight="1" x14ac:dyDescent="0.15"/>
    <row r="430" s="8" customFormat="1" ht="15.75" customHeight="1" x14ac:dyDescent="0.15"/>
    <row r="431" s="8" customFormat="1" ht="15.75" customHeight="1" x14ac:dyDescent="0.15"/>
    <row r="432" s="8" customFormat="1" ht="15.75" customHeight="1" x14ac:dyDescent="0.15"/>
    <row r="433" s="8" customFormat="1" ht="15.75" customHeight="1" x14ac:dyDescent="0.15"/>
    <row r="434" s="8" customFormat="1" ht="15.75" customHeight="1" x14ac:dyDescent="0.15"/>
    <row r="435" s="8" customFormat="1" ht="15.75" customHeight="1" x14ac:dyDescent="0.15"/>
    <row r="436" s="8" customFormat="1" ht="15.75" customHeight="1" x14ac:dyDescent="0.15"/>
    <row r="437" s="8" customFormat="1" ht="15.75" customHeight="1" x14ac:dyDescent="0.15"/>
    <row r="438" s="8" customFormat="1" ht="15.75" customHeight="1" x14ac:dyDescent="0.15"/>
    <row r="439" s="8" customFormat="1" ht="15.75" customHeight="1" x14ac:dyDescent="0.15"/>
    <row r="440" s="8" customFormat="1" ht="15.75" customHeight="1" x14ac:dyDescent="0.15"/>
    <row r="441" s="8" customFormat="1" ht="15.75" customHeight="1" x14ac:dyDescent="0.15"/>
    <row r="442" s="8" customFormat="1" ht="15.75" customHeight="1" x14ac:dyDescent="0.15"/>
    <row r="443" s="8" customFormat="1" ht="15.75" customHeight="1" x14ac:dyDescent="0.15"/>
    <row r="444" s="8" customFormat="1" ht="15.75" customHeight="1" x14ac:dyDescent="0.15"/>
    <row r="445" s="8" customFormat="1" ht="15.75" customHeight="1" x14ac:dyDescent="0.15"/>
    <row r="446" s="8" customFormat="1" ht="15.75" customHeight="1" x14ac:dyDescent="0.15"/>
    <row r="447" s="8" customFormat="1" ht="15.75" customHeight="1" x14ac:dyDescent="0.15"/>
    <row r="448" s="8" customFormat="1" ht="15.75" customHeight="1" x14ac:dyDescent="0.15"/>
    <row r="449" s="8" customFormat="1" ht="15.75" customHeight="1" x14ac:dyDescent="0.15"/>
    <row r="450" s="8" customFormat="1" ht="15.75" customHeight="1" x14ac:dyDescent="0.15"/>
    <row r="451" s="8" customFormat="1" ht="15.75" customHeight="1" x14ac:dyDescent="0.15"/>
    <row r="452" s="8" customFormat="1" ht="15.75" customHeight="1" x14ac:dyDescent="0.15"/>
    <row r="453" s="8" customFormat="1" ht="15.75" customHeight="1" x14ac:dyDescent="0.15"/>
    <row r="454" s="8" customFormat="1" ht="15.75" customHeight="1" x14ac:dyDescent="0.15"/>
    <row r="455" s="8" customFormat="1" ht="15.75" customHeight="1" x14ac:dyDescent="0.15"/>
    <row r="456" s="8" customFormat="1" ht="15.75" customHeight="1" x14ac:dyDescent="0.15"/>
    <row r="457" s="8" customFormat="1" ht="15.75" customHeight="1" x14ac:dyDescent="0.15"/>
    <row r="458" s="8" customFormat="1" ht="15.75" customHeight="1" x14ac:dyDescent="0.15"/>
    <row r="459" s="8" customFormat="1" ht="15.75" customHeight="1" x14ac:dyDescent="0.15"/>
    <row r="460" s="8" customFormat="1" ht="15.75" customHeight="1" x14ac:dyDescent="0.15"/>
    <row r="461" s="8" customFormat="1" ht="15.75" customHeight="1" x14ac:dyDescent="0.15"/>
    <row r="462" s="8" customFormat="1" ht="15.75" customHeight="1" x14ac:dyDescent="0.15"/>
    <row r="463" s="8" customFormat="1" ht="15.75" customHeight="1" x14ac:dyDescent="0.15"/>
    <row r="464" s="8" customFormat="1" ht="15.75" customHeight="1" x14ac:dyDescent="0.15"/>
    <row r="465" s="8" customFormat="1" ht="15.75" customHeight="1" x14ac:dyDescent="0.15"/>
    <row r="466" s="8" customFormat="1" ht="15.75" customHeight="1" x14ac:dyDescent="0.15"/>
    <row r="467" s="8" customFormat="1" ht="15.75" customHeight="1" x14ac:dyDescent="0.15"/>
    <row r="468" s="8" customFormat="1" ht="15.75" customHeight="1" x14ac:dyDescent="0.15"/>
    <row r="469" s="8" customFormat="1" ht="15.75" customHeight="1" x14ac:dyDescent="0.15"/>
    <row r="470" s="8" customFormat="1" ht="15.75" customHeight="1" x14ac:dyDescent="0.15"/>
    <row r="471" s="8" customFormat="1" ht="15.75" customHeight="1" x14ac:dyDescent="0.15"/>
    <row r="472" s="8" customFormat="1" ht="15.75" customHeight="1" x14ac:dyDescent="0.15"/>
    <row r="473" s="8" customFormat="1" ht="15.75" customHeight="1" x14ac:dyDescent="0.15"/>
    <row r="474" s="8" customFormat="1" ht="15.75" customHeight="1" x14ac:dyDescent="0.15"/>
    <row r="475" s="8" customFormat="1" ht="15.75" customHeight="1" x14ac:dyDescent="0.15"/>
    <row r="476" s="8" customFormat="1" ht="15.75" customHeight="1" x14ac:dyDescent="0.15"/>
    <row r="477" s="8" customFormat="1" ht="15.75" customHeight="1" x14ac:dyDescent="0.15"/>
    <row r="478" s="8" customFormat="1" ht="15.75" customHeight="1" x14ac:dyDescent="0.15"/>
    <row r="479" s="8" customFormat="1" ht="15.75" customHeight="1" x14ac:dyDescent="0.15"/>
    <row r="480" s="8" customFormat="1" ht="15.75" customHeight="1" x14ac:dyDescent="0.15"/>
    <row r="481" s="8" customFormat="1" ht="15.75" customHeight="1" x14ac:dyDescent="0.15"/>
    <row r="482" s="8" customFormat="1" ht="15.75" customHeight="1" x14ac:dyDescent="0.15"/>
    <row r="483" s="8" customFormat="1" ht="15.75" customHeight="1" x14ac:dyDescent="0.15"/>
    <row r="484" s="8" customFormat="1" ht="15.75" customHeight="1" x14ac:dyDescent="0.15"/>
    <row r="485" s="8" customFormat="1" ht="15.75" customHeight="1" x14ac:dyDescent="0.15"/>
    <row r="486" s="8" customFormat="1" ht="15.75" customHeight="1" x14ac:dyDescent="0.15"/>
    <row r="487" s="8" customFormat="1" ht="15.75" customHeight="1" x14ac:dyDescent="0.15"/>
    <row r="488" s="8" customFormat="1" ht="15.75" customHeight="1" x14ac:dyDescent="0.15"/>
    <row r="489" s="8" customFormat="1" ht="15.75" customHeight="1" x14ac:dyDescent="0.15"/>
    <row r="490" s="8" customFormat="1" ht="15.75" customHeight="1" x14ac:dyDescent="0.15"/>
    <row r="491" s="8" customFormat="1" ht="15.75" customHeight="1" x14ac:dyDescent="0.15"/>
    <row r="492" s="8" customFormat="1" ht="15.75" customHeight="1" x14ac:dyDescent="0.15"/>
    <row r="493" s="8" customFormat="1" ht="15.75" customHeight="1" x14ac:dyDescent="0.15"/>
    <row r="494" s="8" customFormat="1" ht="15.75" customHeight="1" x14ac:dyDescent="0.15"/>
    <row r="495" s="8" customFormat="1" ht="15.75" customHeight="1" x14ac:dyDescent="0.15"/>
    <row r="496" s="8" customFormat="1" ht="15.75" customHeight="1" x14ac:dyDescent="0.15"/>
    <row r="497" s="8" customFormat="1" ht="15.75" customHeight="1" x14ac:dyDescent="0.15"/>
    <row r="498" s="8" customFormat="1" ht="15.75" customHeight="1" x14ac:dyDescent="0.15"/>
    <row r="499" s="8" customFormat="1" ht="15.75" customHeight="1" x14ac:dyDescent="0.15"/>
    <row r="500" s="8" customFormat="1" ht="15.75" customHeight="1" x14ac:dyDescent="0.15"/>
    <row r="501" s="8" customFormat="1" ht="15.75" customHeight="1" x14ac:dyDescent="0.15"/>
    <row r="502" s="8" customFormat="1" ht="15.75" customHeight="1" x14ac:dyDescent="0.15"/>
    <row r="503" s="8" customFormat="1" ht="15.75" customHeight="1" x14ac:dyDescent="0.15"/>
    <row r="504" s="8" customFormat="1" ht="15.75" customHeight="1" x14ac:dyDescent="0.15"/>
    <row r="505" s="8" customFormat="1" ht="15.75" customHeight="1" x14ac:dyDescent="0.15"/>
    <row r="506" s="8" customFormat="1" ht="15.75" customHeight="1" x14ac:dyDescent="0.15"/>
    <row r="507" s="8" customFormat="1" ht="15.75" customHeight="1" x14ac:dyDescent="0.15"/>
    <row r="508" s="8" customFormat="1" ht="15.75" customHeight="1" x14ac:dyDescent="0.15"/>
    <row r="509" s="8" customFormat="1" ht="15.75" customHeight="1" x14ac:dyDescent="0.15"/>
    <row r="510" s="8" customFormat="1" ht="15.75" customHeight="1" x14ac:dyDescent="0.15"/>
    <row r="511" s="8" customFormat="1" ht="15.75" customHeight="1" x14ac:dyDescent="0.15"/>
    <row r="512" s="8" customFormat="1" ht="15.75" customHeight="1" x14ac:dyDescent="0.15"/>
    <row r="513" s="8" customFormat="1" ht="15.75" customHeight="1" x14ac:dyDescent="0.15"/>
    <row r="514" s="8" customFormat="1" ht="15.75" customHeight="1" x14ac:dyDescent="0.15"/>
    <row r="515" s="8" customFormat="1" ht="15.75" customHeight="1" x14ac:dyDescent="0.15"/>
    <row r="516" s="8" customFormat="1" ht="15.75" customHeight="1" x14ac:dyDescent="0.15"/>
    <row r="517" s="8" customFormat="1" ht="15.75" customHeight="1" x14ac:dyDescent="0.15"/>
    <row r="518" s="8" customFormat="1" ht="15.75" customHeight="1" x14ac:dyDescent="0.15"/>
    <row r="519" s="8" customFormat="1" ht="15.75" customHeight="1" x14ac:dyDescent="0.15"/>
    <row r="520" s="8" customFormat="1" ht="15.75" customHeight="1" x14ac:dyDescent="0.15"/>
    <row r="521" s="8" customFormat="1" ht="15.75" customHeight="1" x14ac:dyDescent="0.15"/>
    <row r="522" s="8" customFormat="1" ht="15.75" customHeight="1" x14ac:dyDescent="0.15"/>
    <row r="523" s="8" customFormat="1" ht="15.75" customHeight="1" x14ac:dyDescent="0.15"/>
    <row r="524" s="8" customFormat="1" ht="15.75" customHeight="1" x14ac:dyDescent="0.15"/>
    <row r="525" s="8" customFormat="1" ht="15.75" customHeight="1" x14ac:dyDescent="0.15"/>
    <row r="526" s="8" customFormat="1" ht="15.75" customHeight="1" x14ac:dyDescent="0.15"/>
    <row r="527" s="8" customFormat="1" ht="15.75" customHeight="1" x14ac:dyDescent="0.15"/>
    <row r="528" s="8" customFormat="1" ht="15.75" customHeight="1" x14ac:dyDescent="0.15"/>
    <row r="529" s="8" customFormat="1" ht="15.75" customHeight="1" x14ac:dyDescent="0.15"/>
    <row r="530" s="8" customFormat="1" ht="15.75" customHeight="1" x14ac:dyDescent="0.15"/>
    <row r="531" s="8" customFormat="1" ht="15.75" customHeight="1" x14ac:dyDescent="0.15"/>
    <row r="532" s="8" customFormat="1" ht="15.75" customHeight="1" x14ac:dyDescent="0.15"/>
    <row r="533" s="8" customFormat="1" ht="15.75" customHeight="1" x14ac:dyDescent="0.15"/>
    <row r="534" s="8" customFormat="1" ht="15.75" customHeight="1" x14ac:dyDescent="0.15"/>
    <row r="535" s="8" customFormat="1" ht="15.75" customHeight="1" x14ac:dyDescent="0.15"/>
    <row r="536" s="8" customFormat="1" ht="15.75" customHeight="1" x14ac:dyDescent="0.15"/>
    <row r="537" s="8" customFormat="1" ht="15.75" customHeight="1" x14ac:dyDescent="0.15"/>
    <row r="538" s="8" customFormat="1" ht="15.75" customHeight="1" x14ac:dyDescent="0.15"/>
    <row r="539" s="8" customFormat="1" ht="15.75" customHeight="1" x14ac:dyDescent="0.15"/>
    <row r="540" s="8" customFormat="1" ht="15.75" customHeight="1" x14ac:dyDescent="0.15"/>
    <row r="541" s="8" customFormat="1" ht="15.75" customHeight="1" x14ac:dyDescent="0.15"/>
    <row r="542" s="8" customFormat="1" ht="15.75" customHeight="1" x14ac:dyDescent="0.15"/>
    <row r="543" s="8" customFormat="1" ht="15.75" customHeight="1" x14ac:dyDescent="0.15"/>
    <row r="544" s="8" customFormat="1" ht="15.75" customHeight="1" x14ac:dyDescent="0.15"/>
    <row r="545" s="8" customFormat="1" ht="15.75" customHeight="1" x14ac:dyDescent="0.15"/>
    <row r="546" s="8" customFormat="1" ht="15.75" customHeight="1" x14ac:dyDescent="0.15"/>
    <row r="547" s="8" customFormat="1" ht="15.75" customHeight="1" x14ac:dyDescent="0.15"/>
    <row r="548" s="8" customFormat="1" ht="15.75" customHeight="1" x14ac:dyDescent="0.15"/>
    <row r="549" s="8" customFormat="1" ht="15.75" customHeight="1" x14ac:dyDescent="0.15"/>
    <row r="550" s="8" customFormat="1" ht="15.75" customHeight="1" x14ac:dyDescent="0.15"/>
    <row r="551" s="8" customFormat="1" ht="15.75" customHeight="1" x14ac:dyDescent="0.15"/>
    <row r="552" s="8" customFormat="1" ht="15.75" customHeight="1" x14ac:dyDescent="0.15"/>
    <row r="553" s="8" customFormat="1" ht="15.75" customHeight="1" x14ac:dyDescent="0.15"/>
    <row r="554" s="8" customFormat="1" ht="15.75" customHeight="1" x14ac:dyDescent="0.15"/>
    <row r="555" s="8" customFormat="1" ht="15.75" customHeight="1" x14ac:dyDescent="0.15"/>
    <row r="556" s="8" customFormat="1" ht="15.75" customHeight="1" x14ac:dyDescent="0.15"/>
    <row r="557" s="8" customFormat="1" ht="15.75" customHeight="1" x14ac:dyDescent="0.15"/>
    <row r="558" s="8" customFormat="1" ht="15.75" customHeight="1" x14ac:dyDescent="0.15"/>
    <row r="559" s="8" customFormat="1" ht="15.75" customHeight="1" x14ac:dyDescent="0.15"/>
    <row r="560" s="8" customFormat="1" ht="15.75" customHeight="1" x14ac:dyDescent="0.15"/>
    <row r="561" s="8" customFormat="1" ht="15.75" customHeight="1" x14ac:dyDescent="0.15"/>
    <row r="562" s="8" customFormat="1" ht="15.75" customHeight="1" x14ac:dyDescent="0.15"/>
    <row r="563" s="8" customFormat="1" ht="15.75" customHeight="1" x14ac:dyDescent="0.15"/>
    <row r="564" s="8" customFormat="1" ht="15.75" customHeight="1" x14ac:dyDescent="0.15"/>
    <row r="565" s="8" customFormat="1" ht="15.75" customHeight="1" x14ac:dyDescent="0.15"/>
    <row r="566" s="8" customFormat="1" ht="15.75" customHeight="1" x14ac:dyDescent="0.15"/>
    <row r="567" s="8" customFormat="1" ht="15.75" customHeight="1" x14ac:dyDescent="0.15"/>
    <row r="568" s="8" customFormat="1" ht="15.75" customHeight="1" x14ac:dyDescent="0.15"/>
    <row r="569" s="8" customFormat="1" ht="15.75" customHeight="1" x14ac:dyDescent="0.15"/>
    <row r="570" s="8" customFormat="1" ht="15.75" customHeight="1" x14ac:dyDescent="0.15"/>
    <row r="571" s="8" customFormat="1" ht="15.75" customHeight="1" x14ac:dyDescent="0.15"/>
    <row r="572" s="8" customFormat="1" ht="15.75" customHeight="1" x14ac:dyDescent="0.15"/>
    <row r="573" s="8" customFormat="1" ht="15.75" customHeight="1" x14ac:dyDescent="0.15"/>
    <row r="574" s="8" customFormat="1" ht="15.75" customHeight="1" x14ac:dyDescent="0.15"/>
    <row r="575" s="8" customFormat="1" ht="15.75" customHeight="1" x14ac:dyDescent="0.15"/>
    <row r="576" s="8" customFormat="1" ht="15.75" customHeight="1" x14ac:dyDescent="0.15"/>
    <row r="577" s="8" customFormat="1" ht="15.75" customHeight="1" x14ac:dyDescent="0.15"/>
    <row r="578" s="8" customFormat="1" ht="15.75" customHeight="1" x14ac:dyDescent="0.15"/>
    <row r="579" s="8" customFormat="1" ht="15.75" customHeight="1" x14ac:dyDescent="0.15"/>
    <row r="580" s="8" customFormat="1" ht="15.75" customHeight="1" x14ac:dyDescent="0.15"/>
    <row r="581" s="8" customFormat="1" ht="15.75" customHeight="1" x14ac:dyDescent="0.15"/>
    <row r="582" s="8" customFormat="1" ht="15.75" customHeight="1" x14ac:dyDescent="0.15"/>
    <row r="583" s="8" customFormat="1" ht="15.75" customHeight="1" x14ac:dyDescent="0.15"/>
    <row r="584" s="8" customFormat="1" ht="15.75" customHeight="1" x14ac:dyDescent="0.15"/>
    <row r="585" s="8" customFormat="1" ht="15.75" customHeight="1" x14ac:dyDescent="0.15"/>
    <row r="586" s="8" customFormat="1" ht="15.75" customHeight="1" x14ac:dyDescent="0.15"/>
    <row r="587" s="8" customFormat="1" ht="15.75" customHeight="1" x14ac:dyDescent="0.15"/>
    <row r="588" s="8" customFormat="1" ht="15.75" customHeight="1" x14ac:dyDescent="0.15"/>
    <row r="589" s="8" customFormat="1" ht="15.75" customHeight="1" x14ac:dyDescent="0.15"/>
    <row r="590" s="8" customFormat="1" ht="15.75" customHeight="1" x14ac:dyDescent="0.15"/>
    <row r="591" s="8" customFormat="1" ht="15.75" customHeight="1" x14ac:dyDescent="0.15"/>
    <row r="592" s="8" customFormat="1" ht="15.75" customHeight="1" x14ac:dyDescent="0.15"/>
    <row r="593" s="8" customFormat="1" ht="15.75" customHeight="1" x14ac:dyDescent="0.15"/>
    <row r="594" s="8" customFormat="1" ht="15.75" customHeight="1" x14ac:dyDescent="0.15"/>
    <row r="595" s="8" customFormat="1" ht="15.75" customHeight="1" x14ac:dyDescent="0.15"/>
    <row r="596" s="8" customFormat="1" ht="15.75" customHeight="1" x14ac:dyDescent="0.15"/>
    <row r="597" s="8" customFormat="1" ht="15.75" customHeight="1" x14ac:dyDescent="0.15"/>
    <row r="598" s="8" customFormat="1" ht="15.75" customHeight="1" x14ac:dyDescent="0.15"/>
    <row r="599" s="8" customFormat="1" ht="15.75" customHeight="1" x14ac:dyDescent="0.15"/>
    <row r="600" s="8" customFormat="1" ht="15.75" customHeight="1" x14ac:dyDescent="0.15"/>
    <row r="601" s="8" customFormat="1" ht="15.75" customHeight="1" x14ac:dyDescent="0.15"/>
    <row r="602" s="8" customFormat="1" ht="15.75" customHeight="1" x14ac:dyDescent="0.15"/>
    <row r="603" s="8" customFormat="1" ht="15.75" customHeight="1" x14ac:dyDescent="0.15"/>
    <row r="604" s="8" customFormat="1" ht="15.75" customHeight="1" x14ac:dyDescent="0.15"/>
    <row r="605" s="8" customFormat="1" ht="15.75" customHeight="1" x14ac:dyDescent="0.15"/>
    <row r="606" s="8" customFormat="1" ht="15.75" customHeight="1" x14ac:dyDescent="0.15"/>
    <row r="607" s="8" customFormat="1" ht="15.75" customHeight="1" x14ac:dyDescent="0.15"/>
    <row r="608" s="8" customFormat="1" ht="15.75" customHeight="1" x14ac:dyDescent="0.15"/>
    <row r="609" s="8" customFormat="1" ht="15.75" customHeight="1" x14ac:dyDescent="0.15"/>
    <row r="610" s="8" customFormat="1" ht="15.75" customHeight="1" x14ac:dyDescent="0.15"/>
    <row r="611" s="8" customFormat="1" ht="15.75" customHeight="1" x14ac:dyDescent="0.15"/>
    <row r="612" s="8" customFormat="1" ht="15.75" customHeight="1" x14ac:dyDescent="0.15"/>
    <row r="613" s="8" customFormat="1" ht="15.75" customHeight="1" x14ac:dyDescent="0.15"/>
    <row r="614" s="8" customFormat="1" ht="15.75" customHeight="1" x14ac:dyDescent="0.15"/>
    <row r="615" s="8" customFormat="1" ht="15.75" customHeight="1" x14ac:dyDescent="0.15"/>
    <row r="616" s="8" customFormat="1" ht="15.75" customHeight="1" x14ac:dyDescent="0.15"/>
    <row r="617" s="8" customFormat="1" ht="15.75" customHeight="1" x14ac:dyDescent="0.15"/>
    <row r="618" s="8" customFormat="1" ht="15.75" customHeight="1" x14ac:dyDescent="0.15"/>
    <row r="619" s="8" customFormat="1" ht="15.75" customHeight="1" x14ac:dyDescent="0.15"/>
    <row r="620" s="8" customFormat="1" ht="15.75" customHeight="1" x14ac:dyDescent="0.15"/>
    <row r="621" s="8" customFormat="1" ht="15.75" customHeight="1" x14ac:dyDescent="0.15"/>
    <row r="622" s="8" customFormat="1" ht="15.75" customHeight="1" x14ac:dyDescent="0.15"/>
    <row r="623" s="8" customFormat="1" ht="15.75" customHeight="1" x14ac:dyDescent="0.15"/>
    <row r="624" s="8" customFormat="1" ht="15.75" customHeight="1" x14ac:dyDescent="0.15"/>
    <row r="625" s="8" customFormat="1" ht="15.75" customHeight="1" x14ac:dyDescent="0.15"/>
    <row r="626" s="8" customFormat="1" ht="15.75" customHeight="1" x14ac:dyDescent="0.15"/>
    <row r="627" s="8" customFormat="1" ht="15.75" customHeight="1" x14ac:dyDescent="0.15"/>
    <row r="628" s="8" customFormat="1" ht="15.75" customHeight="1" x14ac:dyDescent="0.15"/>
    <row r="629" s="8" customFormat="1" ht="15.75" customHeight="1" x14ac:dyDescent="0.15"/>
    <row r="630" s="8" customFormat="1" ht="15.75" customHeight="1" x14ac:dyDescent="0.15"/>
    <row r="631" s="8" customFormat="1" ht="15.75" customHeight="1" x14ac:dyDescent="0.15"/>
    <row r="632" s="8" customFormat="1" ht="15.75" customHeight="1" x14ac:dyDescent="0.15"/>
    <row r="633" s="8" customFormat="1" ht="15.75" customHeight="1" x14ac:dyDescent="0.15"/>
    <row r="634" s="8" customFormat="1" ht="15.75" customHeight="1" x14ac:dyDescent="0.15"/>
    <row r="635" s="8" customFormat="1" ht="15.75" customHeight="1" x14ac:dyDescent="0.15"/>
    <row r="636" s="8" customFormat="1" ht="15.75" customHeight="1" x14ac:dyDescent="0.15"/>
    <row r="637" s="8" customFormat="1" ht="15.75" customHeight="1" x14ac:dyDescent="0.15"/>
    <row r="638" s="8" customFormat="1" ht="15.75" customHeight="1" x14ac:dyDescent="0.15"/>
    <row r="639" s="8" customFormat="1" ht="15.75" customHeight="1" x14ac:dyDescent="0.15"/>
    <row r="640" s="8" customFormat="1" ht="15.75" customHeight="1" x14ac:dyDescent="0.15"/>
    <row r="641" s="8" customFormat="1" ht="15.75" customHeight="1" x14ac:dyDescent="0.15"/>
    <row r="642" s="8" customFormat="1" ht="15.75" customHeight="1" x14ac:dyDescent="0.15"/>
    <row r="643" s="8" customFormat="1" ht="15.75" customHeight="1" x14ac:dyDescent="0.15"/>
    <row r="644" s="8" customFormat="1" ht="15.75" customHeight="1" x14ac:dyDescent="0.15"/>
    <row r="645" s="8" customFormat="1" ht="15.75" customHeight="1" x14ac:dyDescent="0.15"/>
    <row r="646" s="8" customFormat="1" ht="15.75" customHeight="1" x14ac:dyDescent="0.15"/>
    <row r="647" s="8" customFormat="1" ht="15.75" customHeight="1" x14ac:dyDescent="0.15"/>
    <row r="648" s="8" customFormat="1" ht="15.75" customHeight="1" x14ac:dyDescent="0.15"/>
    <row r="649" s="8" customFormat="1" ht="15.75" customHeight="1" x14ac:dyDescent="0.15"/>
    <row r="650" s="8" customFormat="1" ht="15.75" customHeight="1" x14ac:dyDescent="0.15"/>
    <row r="651" s="8" customFormat="1" ht="15.75" customHeight="1" x14ac:dyDescent="0.15"/>
    <row r="652" s="8" customFormat="1" ht="15.75" customHeight="1" x14ac:dyDescent="0.15"/>
    <row r="653" s="8" customFormat="1" ht="15.75" customHeight="1" x14ac:dyDescent="0.15"/>
    <row r="654" s="8" customFormat="1" ht="15.75" customHeight="1" x14ac:dyDescent="0.15"/>
    <row r="655" s="8" customFormat="1" ht="15.75" customHeight="1" x14ac:dyDescent="0.15"/>
    <row r="656" s="8" customFormat="1" ht="15.75" customHeight="1" x14ac:dyDescent="0.15"/>
    <row r="657" s="8" customFormat="1" ht="15.75" customHeight="1" x14ac:dyDescent="0.15"/>
    <row r="658" s="8" customFormat="1" ht="15.75" customHeight="1" x14ac:dyDescent="0.15"/>
    <row r="659" s="8" customFormat="1" ht="15.75" customHeight="1" x14ac:dyDescent="0.15"/>
    <row r="660" s="8" customFormat="1" ht="15.75" customHeight="1" x14ac:dyDescent="0.15"/>
    <row r="661" s="8" customFormat="1" ht="15.75" customHeight="1" x14ac:dyDescent="0.15"/>
    <row r="662" s="8" customFormat="1" ht="15.75" customHeight="1" x14ac:dyDescent="0.15"/>
    <row r="663" s="8" customFormat="1" ht="15.75" customHeight="1" x14ac:dyDescent="0.15"/>
    <row r="664" s="8" customFormat="1" ht="15.75" customHeight="1" x14ac:dyDescent="0.15"/>
    <row r="665" s="8" customFormat="1" ht="15.75" customHeight="1" x14ac:dyDescent="0.15"/>
    <row r="666" s="8" customFormat="1" ht="15.75" customHeight="1" x14ac:dyDescent="0.15"/>
    <row r="667" s="8" customFormat="1" ht="15.75" customHeight="1" x14ac:dyDescent="0.15"/>
    <row r="668" s="8" customFormat="1" ht="15.75" customHeight="1" x14ac:dyDescent="0.15"/>
    <row r="669" s="8" customFormat="1" ht="15.75" customHeight="1" x14ac:dyDescent="0.15"/>
    <row r="670" s="8" customFormat="1" ht="15.75" customHeight="1" x14ac:dyDescent="0.15"/>
    <row r="671" s="8" customFormat="1" ht="15.75" customHeight="1" x14ac:dyDescent="0.15"/>
    <row r="672" s="8" customFormat="1" ht="15.75" customHeight="1" x14ac:dyDescent="0.15"/>
    <row r="673" s="8" customFormat="1" ht="15.75" customHeight="1" x14ac:dyDescent="0.15"/>
    <row r="674" s="8" customFormat="1" ht="15.75" customHeight="1" x14ac:dyDescent="0.15"/>
    <row r="675" s="8" customFormat="1" ht="15.75" customHeight="1" x14ac:dyDescent="0.15"/>
    <row r="676" s="8" customFormat="1" ht="15.75" customHeight="1" x14ac:dyDescent="0.15"/>
    <row r="677" s="8" customFormat="1" ht="15.75" customHeight="1" x14ac:dyDescent="0.15"/>
    <row r="678" s="8" customFormat="1" ht="15.75" customHeight="1" x14ac:dyDescent="0.15"/>
    <row r="679" s="8" customFormat="1" ht="15.75" customHeight="1" x14ac:dyDescent="0.15"/>
    <row r="680" s="8" customFormat="1" ht="15.75" customHeight="1" x14ac:dyDescent="0.15"/>
    <row r="681" s="8" customFormat="1" ht="15.75" customHeight="1" x14ac:dyDescent="0.15"/>
    <row r="682" s="8" customFormat="1" ht="15.75" customHeight="1" x14ac:dyDescent="0.15"/>
    <row r="683" s="8" customFormat="1" ht="15.75" customHeight="1" x14ac:dyDescent="0.15"/>
    <row r="684" s="8" customFormat="1" ht="15.75" customHeight="1" x14ac:dyDescent="0.15"/>
    <row r="685" s="8" customFormat="1" ht="15.75" customHeight="1" x14ac:dyDescent="0.15"/>
    <row r="686" s="8" customFormat="1" ht="15.75" customHeight="1" x14ac:dyDescent="0.15"/>
    <row r="687" s="8" customFormat="1" ht="15.75" customHeight="1" x14ac:dyDescent="0.15"/>
    <row r="688" s="8" customFormat="1" ht="15.75" customHeight="1" x14ac:dyDescent="0.15"/>
    <row r="689" s="8" customFormat="1" ht="15.75" customHeight="1" x14ac:dyDescent="0.15"/>
    <row r="690" s="8" customFormat="1" ht="15.75" customHeight="1" x14ac:dyDescent="0.15"/>
    <row r="691" s="8" customFormat="1" ht="15.75" customHeight="1" x14ac:dyDescent="0.15"/>
    <row r="692" s="8" customFormat="1" ht="15.75" customHeight="1" x14ac:dyDescent="0.15"/>
    <row r="693" s="8" customFormat="1" ht="15.75" customHeight="1" x14ac:dyDescent="0.15"/>
    <row r="694" s="8" customFormat="1" ht="15.75" customHeight="1" x14ac:dyDescent="0.15"/>
    <row r="695" s="8" customFormat="1" ht="15.75" customHeight="1" x14ac:dyDescent="0.15"/>
    <row r="696" s="8" customFormat="1" ht="15.75" customHeight="1" x14ac:dyDescent="0.15"/>
    <row r="697" s="8" customFormat="1" ht="15.75" customHeight="1" x14ac:dyDescent="0.15"/>
    <row r="698" s="8" customFormat="1" ht="15.75" customHeight="1" x14ac:dyDescent="0.15"/>
    <row r="699" s="8" customFormat="1" ht="15.75" customHeight="1" x14ac:dyDescent="0.15"/>
    <row r="700" s="8" customFormat="1" ht="15.75" customHeight="1" x14ac:dyDescent="0.15"/>
    <row r="701" s="8" customFormat="1" ht="15.75" customHeight="1" x14ac:dyDescent="0.15"/>
    <row r="702" s="8" customFormat="1" ht="15.75" customHeight="1" x14ac:dyDescent="0.15"/>
    <row r="703" s="8" customFormat="1" ht="15.75" customHeight="1" x14ac:dyDescent="0.15"/>
    <row r="704" s="8" customFormat="1" ht="15.75" customHeight="1" x14ac:dyDescent="0.15"/>
    <row r="705" s="8" customFormat="1" ht="15.75" customHeight="1" x14ac:dyDescent="0.15"/>
    <row r="706" s="8" customFormat="1" ht="15.75" customHeight="1" x14ac:dyDescent="0.15"/>
    <row r="707" s="8" customFormat="1" ht="15.75" customHeight="1" x14ac:dyDescent="0.15"/>
    <row r="708" s="8" customFormat="1" ht="15.75" customHeight="1" x14ac:dyDescent="0.15"/>
    <row r="709" s="8" customFormat="1" ht="15.75" customHeight="1" x14ac:dyDescent="0.15"/>
    <row r="710" s="8" customFormat="1" ht="15.75" customHeight="1" x14ac:dyDescent="0.15"/>
    <row r="711" s="8" customFormat="1" ht="15.75" customHeight="1" x14ac:dyDescent="0.15"/>
    <row r="712" s="8" customFormat="1" ht="15.75" customHeight="1" x14ac:dyDescent="0.15"/>
    <row r="713" s="8" customFormat="1" ht="15.75" customHeight="1" x14ac:dyDescent="0.15"/>
    <row r="714" s="8" customFormat="1" ht="15.75" customHeight="1" x14ac:dyDescent="0.15"/>
    <row r="715" s="8" customFormat="1" ht="15.75" customHeight="1" x14ac:dyDescent="0.15"/>
    <row r="716" s="8" customFormat="1" ht="15.75" customHeight="1" x14ac:dyDescent="0.15"/>
    <row r="717" s="8" customFormat="1" ht="15.75" customHeight="1" x14ac:dyDescent="0.15"/>
    <row r="718" s="8" customFormat="1" ht="15.75" customHeight="1" x14ac:dyDescent="0.15"/>
    <row r="719" s="8" customFormat="1" ht="15.75" customHeight="1" x14ac:dyDescent="0.15"/>
    <row r="720" s="8" customFormat="1" ht="15.75" customHeight="1" x14ac:dyDescent="0.15"/>
    <row r="721" s="8" customFormat="1" ht="15.75" customHeight="1" x14ac:dyDescent="0.15"/>
    <row r="722" s="8" customFormat="1" ht="15.75" customHeight="1" x14ac:dyDescent="0.15"/>
    <row r="723" s="8" customFormat="1" ht="15.75" customHeight="1" x14ac:dyDescent="0.15"/>
    <row r="724" s="8" customFormat="1" ht="15.75" customHeight="1" x14ac:dyDescent="0.15"/>
    <row r="725" s="8" customFormat="1" ht="15.75" customHeight="1" x14ac:dyDescent="0.15"/>
    <row r="726" s="8" customFormat="1" ht="15.75" customHeight="1" x14ac:dyDescent="0.15"/>
    <row r="727" s="8" customFormat="1" ht="15.75" customHeight="1" x14ac:dyDescent="0.15"/>
    <row r="728" s="8" customFormat="1" ht="15.75" customHeight="1" x14ac:dyDescent="0.15"/>
    <row r="729" s="8" customFormat="1" ht="15.75" customHeight="1" x14ac:dyDescent="0.15"/>
    <row r="730" s="8" customFormat="1" ht="15.75" customHeight="1" x14ac:dyDescent="0.15"/>
    <row r="731" s="8" customFormat="1" ht="15.75" customHeight="1" x14ac:dyDescent="0.15"/>
    <row r="732" s="8" customFormat="1" ht="15.75" customHeight="1" x14ac:dyDescent="0.15"/>
    <row r="733" s="8" customFormat="1" ht="15.75" customHeight="1" x14ac:dyDescent="0.15"/>
    <row r="734" s="8" customFormat="1" ht="15.75" customHeight="1" x14ac:dyDescent="0.15"/>
    <row r="735" s="8" customFormat="1" ht="15.75" customHeight="1" x14ac:dyDescent="0.15"/>
    <row r="736" s="8" customFormat="1" ht="15.75" customHeight="1" x14ac:dyDescent="0.15"/>
    <row r="737" s="8" customFormat="1" ht="15.75" customHeight="1" x14ac:dyDescent="0.15"/>
    <row r="738" s="8" customFormat="1" ht="15.75" customHeight="1" x14ac:dyDescent="0.15"/>
    <row r="739" s="8" customFormat="1" ht="15.75" customHeight="1" x14ac:dyDescent="0.15"/>
    <row r="740" s="8" customFormat="1" ht="15.75" customHeight="1" x14ac:dyDescent="0.15"/>
    <row r="741" s="8" customFormat="1" ht="15.75" customHeight="1" x14ac:dyDescent="0.15"/>
    <row r="742" s="8" customFormat="1" ht="15.75" customHeight="1" x14ac:dyDescent="0.15"/>
    <row r="743" s="8" customFormat="1" ht="15.75" customHeight="1" x14ac:dyDescent="0.15"/>
    <row r="744" s="8" customFormat="1" ht="15.75" customHeight="1" x14ac:dyDescent="0.15"/>
    <row r="745" s="8" customFormat="1" ht="15.75" customHeight="1" x14ac:dyDescent="0.15"/>
    <row r="746" s="8" customFormat="1" ht="15.75" customHeight="1" x14ac:dyDescent="0.15"/>
    <row r="747" s="8" customFormat="1" ht="15.75" customHeight="1" x14ac:dyDescent="0.15"/>
    <row r="748" s="8" customFormat="1" ht="15.75" customHeight="1" x14ac:dyDescent="0.15"/>
    <row r="749" s="8" customFormat="1" ht="15.75" customHeight="1" x14ac:dyDescent="0.15"/>
    <row r="750" s="8" customFormat="1" ht="15.75" customHeight="1" x14ac:dyDescent="0.15"/>
    <row r="751" s="8" customFormat="1" ht="15.75" customHeight="1" x14ac:dyDescent="0.15"/>
    <row r="752" s="8" customFormat="1" ht="15.75" customHeight="1" x14ac:dyDescent="0.15"/>
    <row r="753" s="8" customFormat="1" ht="15.75" customHeight="1" x14ac:dyDescent="0.15"/>
    <row r="754" s="8" customFormat="1" ht="15.75" customHeight="1" x14ac:dyDescent="0.15"/>
    <row r="755" s="8" customFormat="1" ht="15.75" customHeight="1" x14ac:dyDescent="0.15"/>
    <row r="756" s="8" customFormat="1" ht="15.75" customHeight="1" x14ac:dyDescent="0.15"/>
    <row r="757" s="8" customFormat="1" ht="15.75" customHeight="1" x14ac:dyDescent="0.15"/>
    <row r="758" s="8" customFormat="1" ht="15.75" customHeight="1" x14ac:dyDescent="0.15"/>
    <row r="759" s="8" customFormat="1" ht="15.75" customHeight="1" x14ac:dyDescent="0.15"/>
    <row r="760" s="8" customFormat="1" ht="15.75" customHeight="1" x14ac:dyDescent="0.15"/>
    <row r="761" s="8" customFormat="1" ht="15.75" customHeight="1" x14ac:dyDescent="0.15"/>
    <row r="762" s="8" customFormat="1" ht="15.75" customHeight="1" x14ac:dyDescent="0.15"/>
    <row r="763" s="8" customFormat="1" ht="15.75" customHeight="1" x14ac:dyDescent="0.15"/>
    <row r="764" s="8" customFormat="1" ht="15.75" customHeight="1" x14ac:dyDescent="0.15"/>
    <row r="765" s="8" customFormat="1" ht="15.75" customHeight="1" x14ac:dyDescent="0.15"/>
    <row r="766" s="8" customFormat="1" ht="15.75" customHeight="1" x14ac:dyDescent="0.15"/>
    <row r="767" s="8" customFormat="1" ht="15.75" customHeight="1" x14ac:dyDescent="0.15"/>
    <row r="768" s="8" customFormat="1" ht="15.75" customHeight="1" x14ac:dyDescent="0.15"/>
    <row r="769" s="8" customFormat="1" ht="15.75" customHeight="1" x14ac:dyDescent="0.15"/>
    <row r="770" s="8" customFormat="1" ht="15.75" customHeight="1" x14ac:dyDescent="0.15"/>
    <row r="771" s="8" customFormat="1" ht="15.75" customHeight="1" x14ac:dyDescent="0.15"/>
    <row r="772" s="8" customFormat="1" ht="15.75" customHeight="1" x14ac:dyDescent="0.15"/>
    <row r="773" s="8" customFormat="1" ht="15.75" customHeight="1" x14ac:dyDescent="0.15"/>
    <row r="774" s="8" customFormat="1" ht="15.75" customHeight="1" x14ac:dyDescent="0.15"/>
    <row r="775" s="8" customFormat="1" ht="15.75" customHeight="1" x14ac:dyDescent="0.15"/>
    <row r="776" s="8" customFormat="1" ht="15.75" customHeight="1" x14ac:dyDescent="0.15"/>
    <row r="777" s="8" customFormat="1" ht="15.75" customHeight="1" x14ac:dyDescent="0.15"/>
    <row r="778" s="8" customFormat="1" ht="15.75" customHeight="1" x14ac:dyDescent="0.15"/>
    <row r="779" s="8" customFormat="1" ht="15.75" customHeight="1" x14ac:dyDescent="0.15"/>
    <row r="780" s="8" customFormat="1" ht="15.75" customHeight="1" x14ac:dyDescent="0.15"/>
    <row r="781" s="8" customFormat="1" ht="15.75" customHeight="1" x14ac:dyDescent="0.15"/>
    <row r="782" s="8" customFormat="1" ht="15.75" customHeight="1" x14ac:dyDescent="0.15"/>
    <row r="783" s="8" customFormat="1" ht="15.75" customHeight="1" x14ac:dyDescent="0.15"/>
    <row r="784" s="8" customFormat="1" ht="15.75" customHeight="1" x14ac:dyDescent="0.15"/>
    <row r="785" s="8" customFormat="1" ht="15.75" customHeight="1" x14ac:dyDescent="0.15"/>
    <row r="786" s="8" customFormat="1" ht="15.75" customHeight="1" x14ac:dyDescent="0.15"/>
    <row r="787" s="8" customFormat="1" ht="15.75" customHeight="1" x14ac:dyDescent="0.15"/>
    <row r="788" s="8" customFormat="1" ht="15.75" customHeight="1" x14ac:dyDescent="0.15"/>
    <row r="789" s="8" customFormat="1" ht="15.75" customHeight="1" x14ac:dyDescent="0.15"/>
    <row r="790" s="8" customFormat="1" ht="15.75" customHeight="1" x14ac:dyDescent="0.15"/>
    <row r="791" s="8" customFormat="1" ht="15.75" customHeight="1" x14ac:dyDescent="0.15"/>
    <row r="792" s="8" customFormat="1" ht="15.75" customHeight="1" x14ac:dyDescent="0.15"/>
    <row r="793" s="8" customFormat="1" ht="15.75" customHeight="1" x14ac:dyDescent="0.15"/>
    <row r="794" s="8" customFormat="1" ht="15.75" customHeight="1" x14ac:dyDescent="0.15"/>
    <row r="795" s="8" customFormat="1" ht="15.75" customHeight="1" x14ac:dyDescent="0.15"/>
    <row r="796" s="8" customFormat="1" ht="15.75" customHeight="1" x14ac:dyDescent="0.15"/>
    <row r="797" s="8" customFormat="1" ht="15.75" customHeight="1" x14ac:dyDescent="0.15"/>
    <row r="798" s="8" customFormat="1" ht="15.75" customHeight="1" x14ac:dyDescent="0.15"/>
    <row r="799" s="8" customFormat="1" ht="15.75" customHeight="1" x14ac:dyDescent="0.15"/>
    <row r="800" s="8" customFormat="1" ht="15.75" customHeight="1" x14ac:dyDescent="0.15"/>
    <row r="801" s="8" customFormat="1" ht="15.75" customHeight="1" x14ac:dyDescent="0.15"/>
    <row r="802" s="8" customFormat="1" ht="15.75" customHeight="1" x14ac:dyDescent="0.15"/>
    <row r="803" s="8" customFormat="1" ht="15.75" customHeight="1" x14ac:dyDescent="0.15"/>
    <row r="804" s="8" customFormat="1" ht="15.75" customHeight="1" x14ac:dyDescent="0.15"/>
    <row r="805" s="8" customFormat="1" ht="15.75" customHeight="1" x14ac:dyDescent="0.15"/>
    <row r="806" s="8" customFormat="1" ht="15.75" customHeight="1" x14ac:dyDescent="0.15"/>
    <row r="807" s="8" customFormat="1" ht="15.75" customHeight="1" x14ac:dyDescent="0.15"/>
    <row r="808" s="8" customFormat="1" ht="15.75" customHeight="1" x14ac:dyDescent="0.15"/>
    <row r="809" s="8" customFormat="1" ht="15.75" customHeight="1" x14ac:dyDescent="0.15"/>
    <row r="810" s="8" customFormat="1" ht="15.75" customHeight="1" x14ac:dyDescent="0.15"/>
    <row r="811" s="8" customFormat="1" ht="15.75" customHeight="1" x14ac:dyDescent="0.15"/>
    <row r="812" s="8" customFormat="1" ht="15.75" customHeight="1" x14ac:dyDescent="0.15"/>
    <row r="813" s="8" customFormat="1" ht="15.75" customHeight="1" x14ac:dyDescent="0.15"/>
    <row r="814" s="8" customFormat="1" ht="15.75" customHeight="1" x14ac:dyDescent="0.15"/>
    <row r="815" s="8" customFormat="1" ht="15.75" customHeight="1" x14ac:dyDescent="0.15"/>
    <row r="816" s="8" customFormat="1" ht="15.75" customHeight="1" x14ac:dyDescent="0.15"/>
    <row r="817" s="8" customFormat="1" ht="15.75" customHeight="1" x14ac:dyDescent="0.15"/>
    <row r="818" s="8" customFormat="1" ht="15.75" customHeight="1" x14ac:dyDescent="0.15"/>
    <row r="819" s="8" customFormat="1" ht="15.75" customHeight="1" x14ac:dyDescent="0.15"/>
    <row r="820" s="8" customFormat="1" ht="15.75" customHeight="1" x14ac:dyDescent="0.15"/>
    <row r="821" s="8" customFormat="1" ht="15.75" customHeight="1" x14ac:dyDescent="0.15"/>
    <row r="822" s="8" customFormat="1" ht="15.75" customHeight="1" x14ac:dyDescent="0.15"/>
    <row r="823" s="8" customFormat="1" ht="15.75" customHeight="1" x14ac:dyDescent="0.15"/>
    <row r="824" s="8" customFormat="1" ht="15.75" customHeight="1" x14ac:dyDescent="0.15"/>
    <row r="825" s="8" customFormat="1" ht="15.75" customHeight="1" x14ac:dyDescent="0.15"/>
    <row r="826" s="8" customFormat="1" ht="15.75" customHeight="1" x14ac:dyDescent="0.15"/>
    <row r="827" s="8" customFormat="1" ht="15.75" customHeight="1" x14ac:dyDescent="0.15"/>
    <row r="828" s="8" customFormat="1" ht="15.75" customHeight="1" x14ac:dyDescent="0.15"/>
    <row r="829" s="8" customFormat="1" ht="15.75" customHeight="1" x14ac:dyDescent="0.15"/>
    <row r="830" s="8" customFormat="1" ht="15.75" customHeight="1" x14ac:dyDescent="0.15"/>
    <row r="831" s="8" customFormat="1" ht="15.75" customHeight="1" x14ac:dyDescent="0.15"/>
    <row r="832" s="8" customFormat="1" ht="15.75" customHeight="1" x14ac:dyDescent="0.15"/>
    <row r="833" s="8" customFormat="1" ht="15.75" customHeight="1" x14ac:dyDescent="0.15"/>
    <row r="834" s="8" customFormat="1" ht="15.75" customHeight="1" x14ac:dyDescent="0.15"/>
    <row r="835" s="8" customFormat="1" ht="15.75" customHeight="1" x14ac:dyDescent="0.15"/>
    <row r="836" s="8" customFormat="1" ht="15.75" customHeight="1" x14ac:dyDescent="0.15"/>
    <row r="837" s="8" customFormat="1" ht="15.75" customHeight="1" x14ac:dyDescent="0.15"/>
    <row r="838" s="8" customFormat="1" ht="15.75" customHeight="1" x14ac:dyDescent="0.15"/>
    <row r="839" s="8" customFormat="1" ht="15.75" customHeight="1" x14ac:dyDescent="0.15"/>
    <row r="840" s="8" customFormat="1" ht="15.75" customHeight="1" x14ac:dyDescent="0.15"/>
    <row r="841" s="8" customFormat="1" ht="15.75" customHeight="1" x14ac:dyDescent="0.15"/>
    <row r="842" s="8" customFormat="1" ht="15.75" customHeight="1" x14ac:dyDescent="0.15"/>
    <row r="843" s="8" customFormat="1" ht="15.75" customHeight="1" x14ac:dyDescent="0.15"/>
    <row r="844" s="8" customFormat="1" ht="15.75" customHeight="1" x14ac:dyDescent="0.15"/>
    <row r="845" s="8" customFormat="1" ht="15.75" customHeight="1" x14ac:dyDescent="0.15"/>
    <row r="846" s="8" customFormat="1" ht="15.75" customHeight="1" x14ac:dyDescent="0.15"/>
    <row r="847" s="8" customFormat="1" ht="15.75" customHeight="1" x14ac:dyDescent="0.15"/>
    <row r="848" s="8" customFormat="1" ht="15.75" customHeight="1" x14ac:dyDescent="0.15"/>
    <row r="849" s="8" customFormat="1" ht="15.75" customHeight="1" x14ac:dyDescent="0.15"/>
    <row r="850" s="8" customFormat="1" ht="15.75" customHeight="1" x14ac:dyDescent="0.15"/>
    <row r="851" s="8" customFormat="1" ht="15.75" customHeight="1" x14ac:dyDescent="0.15"/>
    <row r="852" s="8" customFormat="1" ht="15.75" customHeight="1" x14ac:dyDescent="0.15"/>
    <row r="853" s="8" customFormat="1" ht="15.75" customHeight="1" x14ac:dyDescent="0.15"/>
    <row r="854" s="8" customFormat="1" ht="15.75" customHeight="1" x14ac:dyDescent="0.15"/>
    <row r="855" s="8" customFormat="1" ht="15.75" customHeight="1" x14ac:dyDescent="0.15"/>
    <row r="856" s="8" customFormat="1" ht="15.75" customHeight="1" x14ac:dyDescent="0.15"/>
    <row r="857" s="8" customFormat="1" ht="15.75" customHeight="1" x14ac:dyDescent="0.15"/>
    <row r="858" s="8" customFormat="1" ht="15.75" customHeight="1" x14ac:dyDescent="0.15"/>
    <row r="859" s="8" customFormat="1" ht="15.75" customHeight="1" x14ac:dyDescent="0.15"/>
    <row r="860" s="8" customFormat="1" ht="15.75" customHeight="1" x14ac:dyDescent="0.15"/>
    <row r="861" s="8" customFormat="1" ht="15.75" customHeight="1" x14ac:dyDescent="0.15"/>
    <row r="862" s="8" customFormat="1" ht="15.75" customHeight="1" x14ac:dyDescent="0.15"/>
    <row r="863" s="8" customFormat="1" ht="15.75" customHeight="1" x14ac:dyDescent="0.15"/>
    <row r="864" s="8" customFormat="1" ht="15.75" customHeight="1" x14ac:dyDescent="0.15"/>
    <row r="865" s="8" customFormat="1" ht="15.75" customHeight="1" x14ac:dyDescent="0.15"/>
    <row r="866" s="8" customFormat="1" ht="15.75" customHeight="1" x14ac:dyDescent="0.15"/>
    <row r="867" s="8" customFormat="1" ht="15.75" customHeight="1" x14ac:dyDescent="0.15"/>
    <row r="868" s="8" customFormat="1" ht="15.75" customHeight="1" x14ac:dyDescent="0.15"/>
    <row r="869" s="8" customFormat="1" ht="15.75" customHeight="1" x14ac:dyDescent="0.15"/>
    <row r="870" s="8" customFormat="1" ht="15.75" customHeight="1" x14ac:dyDescent="0.15"/>
    <row r="871" s="8" customFormat="1" ht="15.75" customHeight="1" x14ac:dyDescent="0.15"/>
    <row r="872" s="8" customFormat="1" ht="15.75" customHeight="1" x14ac:dyDescent="0.15"/>
    <row r="873" s="8" customFormat="1" ht="15.75" customHeight="1" x14ac:dyDescent="0.15"/>
    <row r="874" s="8" customFormat="1" ht="15.75" customHeight="1" x14ac:dyDescent="0.15"/>
    <row r="875" s="8" customFormat="1" ht="15.75" customHeight="1" x14ac:dyDescent="0.15"/>
    <row r="876" s="8" customFormat="1" ht="15.75" customHeight="1" x14ac:dyDescent="0.15"/>
    <row r="877" s="8" customFormat="1" ht="15.75" customHeight="1" x14ac:dyDescent="0.15"/>
    <row r="878" s="8" customFormat="1" ht="15.75" customHeight="1" x14ac:dyDescent="0.15"/>
    <row r="879" s="8" customFormat="1" ht="15.75" customHeight="1" x14ac:dyDescent="0.15"/>
    <row r="880" s="8" customFormat="1" ht="15.75" customHeight="1" x14ac:dyDescent="0.15"/>
    <row r="881" s="8" customFormat="1" ht="15.75" customHeight="1" x14ac:dyDescent="0.15"/>
    <row r="882" s="8" customFormat="1" ht="15.75" customHeight="1" x14ac:dyDescent="0.15"/>
    <row r="883" s="8" customFormat="1" ht="15.75" customHeight="1" x14ac:dyDescent="0.15"/>
    <row r="884" s="8" customFormat="1" ht="15.75" customHeight="1" x14ac:dyDescent="0.15"/>
    <row r="885" s="8" customFormat="1" ht="15.75" customHeight="1" x14ac:dyDescent="0.15"/>
    <row r="886" s="8" customFormat="1" ht="15.75" customHeight="1" x14ac:dyDescent="0.15"/>
    <row r="887" s="8" customFormat="1" ht="15.75" customHeight="1" x14ac:dyDescent="0.15"/>
    <row r="888" s="8" customFormat="1" ht="15.75" customHeight="1" x14ac:dyDescent="0.15"/>
    <row r="889" s="8" customFormat="1" ht="15.75" customHeight="1" x14ac:dyDescent="0.15"/>
    <row r="890" s="8" customFormat="1" ht="15.75" customHeight="1" x14ac:dyDescent="0.15"/>
    <row r="891" s="8" customFormat="1" ht="15.75" customHeight="1" x14ac:dyDescent="0.15"/>
    <row r="892" s="8" customFormat="1" ht="15.75" customHeight="1" x14ac:dyDescent="0.15"/>
    <row r="893" s="8" customFormat="1" ht="15.75" customHeight="1" x14ac:dyDescent="0.15"/>
    <row r="894" s="8" customFormat="1" ht="15.75" customHeight="1" x14ac:dyDescent="0.15"/>
    <row r="895" s="8" customFormat="1" ht="15.75" customHeight="1" x14ac:dyDescent="0.15"/>
    <row r="896" s="8" customFormat="1" ht="15.75" customHeight="1" x14ac:dyDescent="0.15"/>
    <row r="897" s="8" customFormat="1" ht="15.75" customHeight="1" x14ac:dyDescent="0.15"/>
    <row r="898" s="8" customFormat="1" ht="15.75" customHeight="1" x14ac:dyDescent="0.15"/>
    <row r="899" s="8" customFormat="1" ht="15.75" customHeight="1" x14ac:dyDescent="0.15"/>
    <row r="900" s="8" customFormat="1" ht="15.75" customHeight="1" x14ac:dyDescent="0.15"/>
    <row r="901" s="8" customFormat="1" ht="15.75" customHeight="1" x14ac:dyDescent="0.15"/>
    <row r="902" s="8" customFormat="1" ht="15.75" customHeight="1" x14ac:dyDescent="0.15"/>
    <row r="903" s="8" customFormat="1" ht="15.75" customHeight="1" x14ac:dyDescent="0.15"/>
    <row r="904" s="8" customFormat="1" ht="15.75" customHeight="1" x14ac:dyDescent="0.15"/>
    <row r="905" s="8" customFormat="1" ht="15.75" customHeight="1" x14ac:dyDescent="0.15"/>
    <row r="906" s="8" customFormat="1" ht="15.75" customHeight="1" x14ac:dyDescent="0.15"/>
    <row r="907" s="8" customFormat="1" ht="15.75" customHeight="1" x14ac:dyDescent="0.15"/>
    <row r="908" s="8" customFormat="1" ht="15.75" customHeight="1" x14ac:dyDescent="0.15"/>
    <row r="909" s="8" customFormat="1" ht="15.75" customHeight="1" x14ac:dyDescent="0.15"/>
    <row r="910" s="8" customFormat="1" ht="15.75" customHeight="1" x14ac:dyDescent="0.15"/>
    <row r="911" s="8" customFormat="1" ht="15.75" customHeight="1" x14ac:dyDescent="0.15"/>
    <row r="912" s="8" customFormat="1" ht="15.75" customHeight="1" x14ac:dyDescent="0.15"/>
    <row r="913" s="8" customFormat="1" ht="15.75" customHeight="1" x14ac:dyDescent="0.15"/>
    <row r="914" s="8" customFormat="1" ht="15.75" customHeight="1" x14ac:dyDescent="0.15"/>
    <row r="915" s="8" customFormat="1" ht="15.75" customHeight="1" x14ac:dyDescent="0.15"/>
    <row r="916" s="8" customFormat="1" ht="15.75" customHeight="1" x14ac:dyDescent="0.15"/>
    <row r="917" s="8" customFormat="1" ht="15.75" customHeight="1" x14ac:dyDescent="0.15"/>
    <row r="918" s="8" customFormat="1" ht="15.75" customHeight="1" x14ac:dyDescent="0.15"/>
    <row r="919" s="8" customFormat="1" ht="15.75" customHeight="1" x14ac:dyDescent="0.15"/>
    <row r="920" s="8" customFormat="1" ht="15.75" customHeight="1" x14ac:dyDescent="0.15"/>
    <row r="921" s="8" customFormat="1" ht="15.75" customHeight="1" x14ac:dyDescent="0.15"/>
    <row r="922" s="8" customFormat="1" ht="15.75" customHeight="1" x14ac:dyDescent="0.15"/>
    <row r="923" s="8" customFormat="1" ht="15.75" customHeight="1" x14ac:dyDescent="0.15"/>
    <row r="924" s="8" customFormat="1" ht="15.75" customHeight="1" x14ac:dyDescent="0.15"/>
    <row r="925" s="8" customFormat="1" ht="15.75" customHeight="1" x14ac:dyDescent="0.15"/>
    <row r="926" s="8" customFormat="1" ht="15.75" customHeight="1" x14ac:dyDescent="0.15"/>
    <row r="927" s="8" customFormat="1" ht="15.75" customHeight="1" x14ac:dyDescent="0.15"/>
    <row r="928" s="8" customFormat="1" ht="15.75" customHeight="1" x14ac:dyDescent="0.15"/>
    <row r="929" s="8" customFormat="1" ht="15.75" customHeight="1" x14ac:dyDescent="0.15"/>
    <row r="930" s="8" customFormat="1" ht="15.75" customHeight="1" x14ac:dyDescent="0.15"/>
    <row r="931" s="8" customFormat="1" ht="15.75" customHeight="1" x14ac:dyDescent="0.15"/>
    <row r="932" s="8" customFormat="1" ht="15.75" customHeight="1" x14ac:dyDescent="0.15"/>
    <row r="933" s="8" customFormat="1" ht="15.75" customHeight="1" x14ac:dyDescent="0.15"/>
    <row r="934" s="8" customFormat="1" ht="15.75" customHeight="1" x14ac:dyDescent="0.15"/>
    <row r="935" s="8" customFormat="1" ht="15.75" customHeight="1" x14ac:dyDescent="0.15"/>
    <row r="936" s="8" customFormat="1" ht="15.75" customHeight="1" x14ac:dyDescent="0.15"/>
    <row r="937" s="8" customFormat="1" ht="15.75" customHeight="1" x14ac:dyDescent="0.15"/>
    <row r="938" s="8" customFormat="1" ht="15.75" customHeight="1" x14ac:dyDescent="0.15"/>
    <row r="939" s="8" customFormat="1" ht="15.75" customHeight="1" x14ac:dyDescent="0.15"/>
    <row r="940" s="8" customFormat="1" ht="15.75" customHeight="1" x14ac:dyDescent="0.15"/>
    <row r="941" s="8" customFormat="1" ht="15.75" customHeight="1" x14ac:dyDescent="0.15"/>
    <row r="942" s="8" customFormat="1" ht="15.75" customHeight="1" x14ac:dyDescent="0.15"/>
    <row r="943" s="8" customFormat="1" ht="15.75" customHeight="1" x14ac:dyDescent="0.15"/>
    <row r="944" s="8" customFormat="1" ht="15.75" customHeight="1" x14ac:dyDescent="0.15"/>
    <row r="945" s="8" customFormat="1" ht="15.75" customHeight="1" x14ac:dyDescent="0.15"/>
    <row r="946" s="8" customFormat="1" ht="15.75" customHeight="1" x14ac:dyDescent="0.15"/>
    <row r="947" s="8" customFormat="1" ht="15.75" customHeight="1" x14ac:dyDescent="0.15"/>
    <row r="948" s="8" customFormat="1" ht="15.75" customHeight="1" x14ac:dyDescent="0.15"/>
    <row r="949" s="8" customFormat="1" ht="15.75" customHeight="1" x14ac:dyDescent="0.15"/>
    <row r="950" s="8" customFormat="1" ht="15.75" customHeight="1" x14ac:dyDescent="0.15"/>
    <row r="951" s="8" customFormat="1" ht="15.75" customHeight="1" x14ac:dyDescent="0.15"/>
    <row r="952" s="8" customFormat="1" ht="15.75" customHeight="1" x14ac:dyDescent="0.15"/>
    <row r="953" s="8" customFormat="1" ht="15.75" customHeight="1" x14ac:dyDescent="0.15"/>
    <row r="954" s="8" customFormat="1" ht="15.75" customHeight="1" x14ac:dyDescent="0.15"/>
    <row r="955" s="8" customFormat="1" ht="15.75" customHeight="1" x14ac:dyDescent="0.15"/>
    <row r="956" s="8" customFormat="1" ht="15.75" customHeight="1" x14ac:dyDescent="0.15"/>
    <row r="957" s="8" customFormat="1" ht="15.75" customHeight="1" x14ac:dyDescent="0.15"/>
    <row r="958" s="8" customFormat="1" ht="15.75" customHeight="1" x14ac:dyDescent="0.15"/>
    <row r="959" s="8" customFormat="1" ht="15.75" customHeight="1" x14ac:dyDescent="0.15"/>
    <row r="960" s="8" customFormat="1" ht="15.75" customHeight="1" x14ac:dyDescent="0.15"/>
    <row r="961" s="8" customFormat="1" ht="15.75" customHeight="1" x14ac:dyDescent="0.15"/>
    <row r="962" s="8" customFormat="1" ht="15.75" customHeight="1" x14ac:dyDescent="0.15"/>
    <row r="963" s="8" customFormat="1" ht="15.75" customHeight="1" x14ac:dyDescent="0.15"/>
    <row r="964" s="8" customFormat="1" ht="15.75" customHeight="1" x14ac:dyDescent="0.15"/>
    <row r="965" s="8" customFormat="1" ht="15.75" customHeight="1" x14ac:dyDescent="0.15"/>
    <row r="966" s="8" customFormat="1" ht="15.75" customHeight="1" x14ac:dyDescent="0.15"/>
    <row r="967" s="8" customFormat="1" ht="15.75" customHeight="1" x14ac:dyDescent="0.15"/>
    <row r="968" s="8" customFormat="1" ht="15.75" customHeight="1" x14ac:dyDescent="0.15"/>
    <row r="969" s="8" customFormat="1" ht="15.75" customHeight="1" x14ac:dyDescent="0.15"/>
    <row r="970" s="8" customFormat="1" ht="15.75" customHeight="1" x14ac:dyDescent="0.15"/>
    <row r="971" s="8" customFormat="1" ht="15.75" customHeight="1" x14ac:dyDescent="0.15"/>
    <row r="972" s="8" customFormat="1" ht="15.75" customHeight="1" x14ac:dyDescent="0.15"/>
    <row r="973" s="8" customFormat="1" ht="15.75" customHeight="1" x14ac:dyDescent="0.15"/>
    <row r="974" s="8" customFormat="1" ht="15.75" customHeight="1" x14ac:dyDescent="0.15"/>
    <row r="975" s="8" customFormat="1" ht="15.75" customHeight="1" x14ac:dyDescent="0.15"/>
    <row r="976" s="8" customFormat="1" ht="15.75" customHeight="1" x14ac:dyDescent="0.15"/>
    <row r="977" s="8" customFormat="1" ht="15.75" customHeight="1" x14ac:dyDescent="0.15"/>
    <row r="978" s="8" customFormat="1" ht="15.75" customHeight="1" x14ac:dyDescent="0.15"/>
    <row r="979" s="8" customFormat="1" ht="15.75" customHeight="1" x14ac:dyDescent="0.15"/>
    <row r="980" s="8" customFormat="1" ht="15.75" customHeight="1" x14ac:dyDescent="0.15"/>
    <row r="981" s="8" customFormat="1" ht="15.75" customHeight="1" x14ac:dyDescent="0.15"/>
    <row r="982" s="8" customFormat="1" ht="15.75" customHeight="1" x14ac:dyDescent="0.15"/>
    <row r="983" s="8" customFormat="1" ht="15.75" customHeight="1" x14ac:dyDescent="0.15"/>
    <row r="984" s="8" customFormat="1" ht="15.75" customHeight="1" x14ac:dyDescent="0.15"/>
    <row r="985" s="8" customFormat="1" ht="15.75" customHeight="1" x14ac:dyDescent="0.15"/>
    <row r="986" s="8" customFormat="1" ht="15.75" customHeight="1" x14ac:dyDescent="0.15"/>
    <row r="987" s="8" customFormat="1" ht="15.75" customHeight="1" x14ac:dyDescent="0.15"/>
    <row r="988" s="8" customFormat="1" ht="15.75" customHeight="1" x14ac:dyDescent="0.15"/>
    <row r="989" s="8" customFormat="1" ht="15.75" customHeight="1" x14ac:dyDescent="0.15"/>
    <row r="990" s="8" customFormat="1" ht="15.75" customHeight="1" x14ac:dyDescent="0.15"/>
    <row r="991" s="8" customFormat="1" ht="15.75" customHeight="1" x14ac:dyDescent="0.15"/>
    <row r="992" s="8" customFormat="1" ht="15.75" customHeight="1" x14ac:dyDescent="0.15"/>
    <row r="993" s="8" customFormat="1" ht="15.75" customHeight="1" x14ac:dyDescent="0.15"/>
    <row r="994" s="8" customFormat="1" ht="15.75" customHeight="1" x14ac:dyDescent="0.15"/>
    <row r="995" s="8" customFormat="1" ht="15.75" customHeight="1" x14ac:dyDescent="0.15"/>
    <row r="996" s="8" customFormat="1" ht="15.75" customHeight="1" x14ac:dyDescent="0.15"/>
    <row r="997" s="8" customFormat="1" ht="15.75" customHeight="1" x14ac:dyDescent="0.15"/>
  </sheetData>
  <sheetProtection autoFilter="0"/>
  <mergeCells count="2">
    <mergeCell ref="C18:K18"/>
    <mergeCell ref="C1:K1"/>
  </mergeCells>
  <conditionalFormatting sqref="B20:B30">
    <cfRule type="colorScale" priority="12">
      <colorScale>
        <cfvo type="min"/>
        <cfvo type="percentile" val="50"/>
        <cfvo type="max"/>
        <color rgb="FFFF7128"/>
        <color rgb="FFFFEB84"/>
        <color rgb="FF00B050"/>
      </colorScale>
    </cfRule>
  </conditionalFormatting>
  <conditionalFormatting sqref="C20:D30">
    <cfRule type="colorScale" priority="11">
      <colorScale>
        <cfvo type="min"/>
        <cfvo type="percentile" val="50"/>
        <cfvo type="max"/>
        <color rgb="FFFF7128"/>
        <color rgb="FFFFEB84"/>
        <color rgb="FF00B050"/>
      </colorScale>
    </cfRule>
  </conditionalFormatting>
  <conditionalFormatting sqref="E20:G30">
    <cfRule type="colorScale" priority="10">
      <colorScale>
        <cfvo type="min"/>
        <cfvo type="percentile" val="50"/>
        <cfvo type="max"/>
        <color rgb="FFFF7128"/>
        <color rgb="FFFFEB84"/>
        <color rgb="FF00B050"/>
      </colorScale>
    </cfRule>
  </conditionalFormatting>
  <conditionalFormatting sqref="H20:J30">
    <cfRule type="colorScale" priority="9">
      <colorScale>
        <cfvo type="min"/>
        <cfvo type="percentile" val="50"/>
        <cfvo type="max"/>
        <color rgb="FFFF7128"/>
        <color rgb="FFFFEB84"/>
        <color rgb="FF00B050"/>
      </colorScale>
    </cfRule>
  </conditionalFormatting>
  <conditionalFormatting sqref="K20:M30">
    <cfRule type="colorScale" priority="8">
      <colorScale>
        <cfvo type="min"/>
        <cfvo type="percentile" val="50"/>
        <cfvo type="max"/>
        <color rgb="FFFF7128"/>
        <color rgb="FFFFEB84"/>
        <color rgb="FF00B050"/>
      </colorScale>
    </cfRule>
  </conditionalFormatting>
  <conditionalFormatting sqref="N20:P30">
    <cfRule type="colorScale" priority="7">
      <colorScale>
        <cfvo type="min"/>
        <cfvo type="percentile" val="50"/>
        <cfvo type="max"/>
        <color rgb="FFFF7128"/>
        <color rgb="FFFFEB84"/>
        <color rgb="FF00B050"/>
      </colorScale>
    </cfRule>
  </conditionalFormatting>
  <conditionalFormatting sqref="Q20:S30">
    <cfRule type="colorScale" priority="6">
      <colorScale>
        <cfvo type="min"/>
        <cfvo type="percentile" val="50"/>
        <cfvo type="max"/>
        <color rgb="FFFF7128"/>
        <color rgb="FFFFEB84"/>
        <color rgb="FF00B050"/>
      </colorScale>
    </cfRule>
  </conditionalFormatting>
  <conditionalFormatting sqref="T20:V30">
    <cfRule type="colorScale" priority="5">
      <colorScale>
        <cfvo type="min"/>
        <cfvo type="percentile" val="50"/>
        <cfvo type="max"/>
        <color rgb="FFFF7128"/>
        <color rgb="FFFFEB84"/>
        <color rgb="FF00B050"/>
      </colorScale>
    </cfRule>
  </conditionalFormatting>
  <conditionalFormatting sqref="W20:Y30">
    <cfRule type="colorScale" priority="4">
      <colorScale>
        <cfvo type="min"/>
        <cfvo type="percentile" val="50"/>
        <cfvo type="max"/>
        <color rgb="FFFF7128"/>
        <color rgb="FFFFEB84"/>
        <color rgb="FF00B050"/>
      </colorScale>
    </cfRule>
  </conditionalFormatting>
  <conditionalFormatting sqref="Z20:AB30">
    <cfRule type="colorScale" priority="3">
      <colorScale>
        <cfvo type="min"/>
        <cfvo type="percentile" val="50"/>
        <cfvo type="max"/>
        <color rgb="FFFF7128"/>
        <color rgb="FFFFEB84"/>
        <color rgb="FF00B050"/>
      </colorScale>
    </cfRule>
  </conditionalFormatting>
  <conditionalFormatting sqref="AC20:AE30">
    <cfRule type="colorScale" priority="2">
      <colorScale>
        <cfvo type="min"/>
        <cfvo type="percentile" val="50"/>
        <cfvo type="max"/>
        <color rgb="FFFF7128"/>
        <color rgb="FFFFEB84"/>
        <color rgb="FF00B050"/>
      </colorScale>
    </cfRule>
  </conditionalFormatting>
  <conditionalFormatting sqref="AF20:AH30">
    <cfRule type="colorScale" priority="1">
      <colorScale>
        <cfvo type="min"/>
        <cfvo type="percentile" val="50"/>
        <cfvo type="max"/>
        <color rgb="FFFF7128"/>
        <color rgb="FFFFEB84"/>
        <color rgb="FF00B050"/>
      </colorScale>
    </cfRule>
  </conditionalFormatting>
  <pageMargins left="0.7" right="0.7" top="0.75" bottom="0.75" header="0" footer="0"/>
  <pageSetup orientation="portrait"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D3389-1F7B-6D4B-BF5D-C0C40B3E6DA1}">
  <sheetPr>
    <tabColor rgb="FF004077"/>
  </sheetPr>
  <dimension ref="A1:AX995"/>
  <sheetViews>
    <sheetView showGridLines="0" zoomScaleNormal="100" workbookViewId="0">
      <pane xSplit="1" topLeftCell="B1" activePane="topRight" state="frozen"/>
      <selection activeCell="O24" sqref="O24"/>
      <selection pane="topRight"/>
    </sheetView>
  </sheetViews>
  <sheetFormatPr baseColWidth="10" defaultColWidth="12.5" defaultRowHeight="15" customHeight="1" x14ac:dyDescent="0.15"/>
  <cols>
    <col min="1" max="1" width="50.1640625" style="8" customWidth="1"/>
    <col min="2" max="2" width="18.83203125" style="8" customWidth="1"/>
    <col min="3" max="4" width="12" style="8" customWidth="1"/>
    <col min="5" max="5" width="14" style="8" customWidth="1"/>
    <col min="6" max="7" width="13.5" style="8" customWidth="1"/>
    <col min="8" max="8" width="13.83203125" style="8" customWidth="1"/>
    <col min="9" max="16" width="12" style="8" customWidth="1"/>
    <col min="17" max="17" width="12.6640625" style="8" customWidth="1"/>
    <col min="18" max="19" width="12" style="8" customWidth="1"/>
    <col min="20" max="20" width="14" style="8" customWidth="1"/>
    <col min="21" max="21" width="12" style="8" customWidth="1"/>
    <col min="22" max="22" width="13.5" style="8" customWidth="1"/>
    <col min="23" max="23" width="14.33203125" style="8" customWidth="1"/>
    <col min="24" max="25" width="12" style="8" customWidth="1"/>
    <col min="26" max="26" width="17.1640625" style="8" customWidth="1"/>
    <col min="27" max="27" width="16" style="8" customWidth="1"/>
    <col min="28" max="28" width="14.6640625" style="8" customWidth="1"/>
    <col min="29" max="29" width="12.5" style="8" customWidth="1"/>
    <col min="30" max="34" width="12" style="8" customWidth="1"/>
    <col min="35" max="46" width="14" style="8" customWidth="1"/>
    <col min="47" max="16384" width="12.5" style="8"/>
  </cols>
  <sheetData>
    <row r="1" spans="1:50" ht="125" customHeight="1" thickBot="1" x14ac:dyDescent="0.2">
      <c r="A1" s="126" t="s">
        <v>92</v>
      </c>
    </row>
    <row r="2" spans="1:50" s="14" customFormat="1" ht="76" thickBot="1" x14ac:dyDescent="0.2">
      <c r="A2" s="181" t="s">
        <v>97</v>
      </c>
      <c r="B2" s="49" t="s">
        <v>95</v>
      </c>
      <c r="C2" s="10" t="s">
        <v>13</v>
      </c>
      <c r="D2" s="10" t="s">
        <v>14</v>
      </c>
      <c r="E2" s="11" t="s">
        <v>15</v>
      </c>
      <c r="F2" s="11" t="s">
        <v>19</v>
      </c>
      <c r="G2" s="11" t="s">
        <v>20</v>
      </c>
      <c r="H2" s="10" t="s">
        <v>51</v>
      </c>
      <c r="I2" s="10" t="s">
        <v>52</v>
      </c>
      <c r="J2" s="10" t="s">
        <v>53</v>
      </c>
      <c r="K2" s="11" t="s">
        <v>54</v>
      </c>
      <c r="L2" s="11" t="s">
        <v>55</v>
      </c>
      <c r="M2" s="11" t="s">
        <v>56</v>
      </c>
      <c r="N2" s="10" t="s">
        <v>16</v>
      </c>
      <c r="O2" s="10" t="s">
        <v>21</v>
      </c>
      <c r="P2" s="10" t="s">
        <v>22</v>
      </c>
      <c r="Q2" s="11" t="s">
        <v>60</v>
      </c>
      <c r="R2" s="11" t="s">
        <v>61</v>
      </c>
      <c r="S2" s="11" t="s">
        <v>62</v>
      </c>
      <c r="T2" s="10" t="s">
        <v>57</v>
      </c>
      <c r="U2" s="10" t="s">
        <v>58</v>
      </c>
      <c r="V2" s="10" t="s">
        <v>59</v>
      </c>
      <c r="W2" s="11" t="s">
        <v>66</v>
      </c>
      <c r="X2" s="11" t="s">
        <v>67</v>
      </c>
      <c r="Y2" s="11" t="s">
        <v>68</v>
      </c>
      <c r="Z2" s="10" t="s">
        <v>17</v>
      </c>
      <c r="AA2" s="10" t="s">
        <v>23</v>
      </c>
      <c r="AB2" s="10" t="s">
        <v>24</v>
      </c>
      <c r="AC2" s="11" t="s">
        <v>63</v>
      </c>
      <c r="AD2" s="11" t="s">
        <v>64</v>
      </c>
      <c r="AE2" s="11" t="s">
        <v>65</v>
      </c>
      <c r="AF2" s="10" t="s">
        <v>18</v>
      </c>
      <c r="AG2" s="10" t="s">
        <v>25</v>
      </c>
      <c r="AH2" s="12" t="s">
        <v>26</v>
      </c>
      <c r="AI2" s="99"/>
      <c r="AJ2" s="99"/>
      <c r="AK2" s="99"/>
      <c r="AL2" s="99"/>
      <c r="AM2" s="99"/>
      <c r="AN2" s="99"/>
      <c r="AO2" s="99"/>
      <c r="AP2" s="99"/>
      <c r="AQ2" s="99"/>
      <c r="AR2" s="99"/>
      <c r="AS2" s="99"/>
      <c r="AT2" s="99"/>
    </row>
    <row r="3" spans="1:50" ht="17" customHeight="1" x14ac:dyDescent="0.2">
      <c r="A3" s="15" t="str">
        <f>Count_Tbl[[#This Row],[Column1]]</f>
        <v>Total Population for Each Learner Group</v>
      </c>
      <c r="B3" s="16">
        <f>Count_Tbl[[#This Row],[Total Population for Each Indicator]]</f>
        <v>0</v>
      </c>
      <c r="C3" s="132">
        <f>Count_Tbl[[#This Row],[Male]]</f>
        <v>0</v>
      </c>
      <c r="D3" s="132">
        <f>Count_Tbl[[#This Row],[Female]]</f>
        <v>0</v>
      </c>
      <c r="E3" s="133">
        <f>Count_Tbl[[#This Row],[Asian or Pacific Islander]]</f>
        <v>0</v>
      </c>
      <c r="F3" s="134">
        <f>Count_Tbl[[#This Row],[Asian or Pacific Islander Male]]</f>
        <v>0</v>
      </c>
      <c r="G3" s="134">
        <f>Count_Tbl[[#This Row],[Asian or Pacific Islander Female]]</f>
        <v>0</v>
      </c>
      <c r="H3" s="135">
        <f>Count_Tbl[[#This Row],[Black Non-Latinx]]</f>
        <v>0</v>
      </c>
      <c r="I3" s="136">
        <f>Count_Tbl[[#This Row],[Black Non-Latinx Male]]</f>
        <v>0</v>
      </c>
      <c r="J3" s="136">
        <f>Count_Tbl[[#This Row],[Black Non-Latinx Female]]</f>
        <v>0</v>
      </c>
      <c r="K3" s="135">
        <f>Count_Tbl[[#This Row],[Latinx]]</f>
        <v>0</v>
      </c>
      <c r="L3" s="136">
        <f>Count_Tbl[[#This Row],[Latinx Male]]</f>
        <v>0</v>
      </c>
      <c r="M3" s="136">
        <f>Count_Tbl[[#This Row],[Latinx Female]]</f>
        <v>0</v>
      </c>
      <c r="N3" s="137">
        <f>Count_Tbl[[#This Row],[Multiracial]]</f>
        <v>0</v>
      </c>
      <c r="O3" s="138">
        <f>Count_Tbl[[#This Row],[Multiracial Male]]</f>
        <v>0</v>
      </c>
      <c r="P3" s="138">
        <f>Count_Tbl[[#This Row],[Multiracial Female]]</f>
        <v>0</v>
      </c>
      <c r="Q3" s="137">
        <f>Count_Tbl[[#This Row],[Native American or Alaska Native]]</f>
        <v>0</v>
      </c>
      <c r="R3" s="138">
        <f>Count_Tbl[[#This Row],[Native American or Alaska Native Male]]</f>
        <v>0</v>
      </c>
      <c r="S3" s="138">
        <f>Count_Tbl[[#This Row],[Native American or Alaska Native Female]]</f>
        <v>0</v>
      </c>
      <c r="T3" s="135">
        <f>Count_Tbl[[#This Row],[White Non-Latinx]]</f>
        <v>0</v>
      </c>
      <c r="U3" s="136">
        <f>Count_Tbl[[#This Row],[White Non-Latinx Male]]</f>
        <v>0</v>
      </c>
      <c r="V3" s="136">
        <f>Count_Tbl[[#This Row],[White Non-Latinx Female]]</f>
        <v>0</v>
      </c>
      <c r="W3" s="135">
        <f>Count_Tbl[[#This Row],[Learners with Disabilities]]</f>
        <v>0</v>
      </c>
      <c r="X3" s="136">
        <f>Count_Tbl[[#This Row],[Learners with Disabilities Male]]</f>
        <v>0</v>
      </c>
      <c r="Y3" s="136">
        <f>Count_Tbl[[#This Row],[Learners with Disabilities Female]]</f>
        <v>0</v>
      </c>
      <c r="Z3" s="135">
        <f>Count_Tbl[[#This Row],[Economically Disadvantaged]]</f>
        <v>0</v>
      </c>
      <c r="AA3" s="136">
        <f>Count_Tbl[[#This Row],[Economically Disadvantaged Male]]</f>
        <v>0</v>
      </c>
      <c r="AB3" s="136">
        <f>Count_Tbl[[#This Row],[Economically Disadvantaged Female]]</f>
        <v>0</v>
      </c>
      <c r="AC3" s="135">
        <f>Count_Tbl[[#This Row],[English Learner]]</f>
        <v>0</v>
      </c>
      <c r="AD3" s="136">
        <f>Count_Tbl[[#This Row],[English Learner Male]]</f>
        <v>0</v>
      </c>
      <c r="AE3" s="136">
        <f>Count_Tbl[[#This Row],[English Learner Female]]</f>
        <v>0</v>
      </c>
      <c r="AF3" s="139">
        <f>Count_Tbl[[#This Row],[Migrant]]</f>
        <v>0</v>
      </c>
      <c r="AG3" s="140">
        <f>Count_Tbl[[#This Row],[Migrant Male]]</f>
        <v>0</v>
      </c>
      <c r="AH3" s="141">
        <f>Count_Tbl[[#This Row],[Migrant Female]]</f>
        <v>0</v>
      </c>
      <c r="AI3" s="27"/>
      <c r="AJ3" s="27"/>
      <c r="AK3" s="27"/>
      <c r="AL3" s="27"/>
      <c r="AM3" s="27"/>
      <c r="AN3" s="27"/>
      <c r="AO3" s="27"/>
      <c r="AP3" s="27"/>
      <c r="AQ3" s="27"/>
      <c r="AR3" s="27"/>
      <c r="AS3" s="27"/>
      <c r="AT3" s="27"/>
    </row>
    <row r="4" spans="1:50" ht="17" customHeight="1" x14ac:dyDescent="0.2">
      <c r="A4" s="48" t="str">
        <f>Count_Tbl[[#This Row],[Column1]]</f>
        <v>CTE Participation</v>
      </c>
      <c r="B4" s="176" t="str">
        <f>IF(OR(Tot_Student_Pop=0,GoalAsPct_Tbl[[#This Row],[Total Population for Each Indicator]]=0),"No Goal",ROUND(Tot_Student_Pop*GoalAsPct_Tbl[[#This Row],[Total Population for Each Indicator]],0))</f>
        <v>No Goal</v>
      </c>
      <c r="C4" s="33" t="str">
        <f>IF(OR(Tot_Male=0,GoalAsPct_Tbl[[#This Row],[Male]]=0),"No Goal",ROUND(Tot_Male*GoalAsPct_Tbl[[#This Row],[Male]],0))</f>
        <v>No Goal</v>
      </c>
      <c r="D4" s="33" t="str">
        <f>IF(OR(Tot_Female=0,GoalAsPct_Tbl[[#This Row],[Female]]=0),"No Goal",ROUND(Tot_Female*GoalAsPct_Tbl[[#This Row],[Female]],0))</f>
        <v>No Goal</v>
      </c>
      <c r="E4" s="35" t="str">
        <f>IF(OR(Tot_API=0,GoalAsPct_Tbl[[#This Row],[Asian or Pacific Islander]]=0),"No Goal",ROUND(Tot_API*GoalAsPct_Tbl[[#This Row],[Asian or Pacific Islander]],0))</f>
        <v>No Goal</v>
      </c>
      <c r="F4" s="35" t="str">
        <f>IF(OR(Tot_API_Male=0,GoalAsPct_Tbl[[#This Row],[Asian or Pacific Islander Male]]=0),"No Goal",ROUND(Tot_API_Male*GoalAsPct_Tbl[[#This Row],[Asian or Pacific Islander Male]],0))</f>
        <v>No Goal</v>
      </c>
      <c r="G4" s="35" t="str">
        <f>IF(OR(Tot_API_Female=0,GoalAsPct_Tbl[[#This Row],[Asian or Pacific Islander Female]]=0),"No Goal",ROUND(Tot_API_Female*GoalAsPct_Tbl[[#This Row],[Asian or Pacific Islander Female]],0))</f>
        <v>No Goal</v>
      </c>
      <c r="H4" s="33" t="str">
        <f>IF(OR(Tot_BNL=0,GoalAsPct_Tbl[[#This Row],[Black Non-Latinx]]=0),"No Goal",ROUND(Tot_BNL*GoalAsPct_Tbl[[#This Row],[Black Non-Latinx]],0))</f>
        <v>No Goal</v>
      </c>
      <c r="I4" s="33" t="str">
        <f>IF(OR(Tot_BNL_Male=0,GoalAsPct_Tbl[[#This Row],[Black Non-Latinx Male]]=0),"No Goal",ROUND(Tot_BNL_Male*GoalAsPct_Tbl[[#This Row],[Black Non-Latinx Male]],0))</f>
        <v>No Goal</v>
      </c>
      <c r="J4" s="33" t="str">
        <f>IF(OR(Tot_BNL_Female=0,GoalAsPct_Tbl[[#This Row],[Black Non-Latinx Female]]=0),"No Goal",ROUND(Tot_BNL_Female*GoalAsPct_Tbl[[#This Row],[Black Non-Latinx Female]],0))</f>
        <v>No Goal</v>
      </c>
      <c r="K4" s="35" t="str" cm="1">
        <f t="array" ref="K4">IF(OR(Tot_Latinx=0,GoalAsPct_Tbl[[#This Row],[Latinx]]=0),"No Goal",ROUND(Tot_Latinx*GoalAsPct_Tbl[[#This Row],[Latinx]],0))</f>
        <v>No Goal</v>
      </c>
      <c r="L4" s="35" t="str" cm="1">
        <f t="array" ref="L4">IF(OR(Tot_Latinx_Male=0,GoalAsPct_Tbl[[#This Row],[Latinx Male]]=0),"No Goal",ROUND(Tot_Latinx_Male*GoalAsPct_Tbl[[#This Row],[Latinx Male]],0))</f>
        <v>No Goal</v>
      </c>
      <c r="M4" s="35" t="str" cm="1">
        <f t="array" ref="M4">IF(OR(Tot_Latinx_Female=0,GoalAsPct_Tbl[[#This Row],[Latinx Female]]=0),"No Goal",ROUND(Tot_Latinx_Female*GoalAsPct_Tbl[[#This Row],[Latinx Female]],0))</f>
        <v>No Goal</v>
      </c>
      <c r="N4" s="33" t="str">
        <f>IF(OR(Tot_Multiracial=0,GoalAsPct_Tbl[[#This Row],[Multiracial]]=0),"No Goal",ROUND(Tot_Multiracial*GoalAsPct_Tbl[[#This Row],[Multiracial]],0))</f>
        <v>No Goal</v>
      </c>
      <c r="O4" s="33" t="str">
        <f>IF(OR(Tot_Multiracial_Male=0,GoalAsPct_Tbl[[#This Row],[Multiracial Male]]=0),"No Goal",ROUND(Tot_Multiracial_Male*GoalAsPct_Tbl[[#This Row],[Multiracial Male]],0))</f>
        <v>No Goal</v>
      </c>
      <c r="P4" s="33" t="str">
        <f>IF(OR(Tot_Multiracial_Female=0,GoalAsPct_Tbl[[#This Row],[Multiracial Female]]=0),"No Goal",ROUND(Tot_Multiracial_Female*GoalAsPct_Tbl[[#This Row],[Multiracial Female]],0))</f>
        <v>No Goal</v>
      </c>
      <c r="Q4" s="35" t="str">
        <f>IF(OR(Tot_AIorAN=0,GoalAsPct_Tbl[[#This Row],[Native American or Alaska Native]]=0),"No Goal",ROUND(Tot_AIorAN*GoalAsPct_Tbl[[#This Row],[Native American or Alaska Native]],0))</f>
        <v>No Goal</v>
      </c>
      <c r="R4" s="35" t="str">
        <f>IF(OR(Tot_AIorAN_Male=0,GoalAsPct_Tbl[[#This Row],[Native American or Alaska Native Male]]=0),"No Goal",ROUND(Tot_AIorAN_Male*GoalAsPct_Tbl[[#This Row],[Native American or Alaska Native Male]],0))</f>
        <v>No Goal</v>
      </c>
      <c r="S4" s="35" t="str">
        <f>IF(OR(Tot_AIorAN_Female=0,GoalAsPct_Tbl[[#This Row],[Native American or Alaska Native Female]]=0),"No Goal",ROUND(Tot_AIorAN_Female*GoalAsPct_Tbl[[#This Row],[Native American or Alaska Native Female]],0))</f>
        <v>No Goal</v>
      </c>
      <c r="T4" s="33" t="str" cm="1">
        <f t="array" ref="T4">IF(OR(Tot_WN_Latinx=0,GoalAsPct_Tbl[[#This Row],[White Non-Latinx]]=0),"No Goal",ROUND(Tot_WN_Latinx*GoalAsPct_Tbl[[#This Row],[White Non-Latinx]],0))</f>
        <v>No Goal</v>
      </c>
      <c r="U4" s="142" t="str" cm="1">
        <f t="array" ref="U4">IF(OR(Tot_WN_Latinx_Male=0,GoalAsPct_Tbl[[#This Row],[White Non-Latinx Male]]=0),"No Goal",ROUND(Tot_WN_Latinx_Male*GoalAsPct_Tbl[[#This Row],[White Non-Latinx Male]],0))</f>
        <v>No Goal</v>
      </c>
      <c r="V4" s="142" t="str" cm="1">
        <f t="array" ref="V4">IF(OR(Tot_WN_Latinx_Female=0,GoalAsPct_Tbl[[#This Row],[White Non-Latinx Female]]=0),"No Goal",ROUND(Tot_WN_Latinx_Female*GoalAsPct_Tbl[[#This Row],[White Non-Latinx Female]],0))</f>
        <v>No Goal</v>
      </c>
      <c r="W4" s="177" t="str">
        <f>IF(OR(Tot_Disab=0,GoalAsPct_Tbl[[#This Row],[Learners with Disabilities]]=0),"No Goal",ROUND(Tot_Disab*GoalAsPct_Tbl[[#This Row],[Learners with Disabilities]],0))</f>
        <v>No Goal</v>
      </c>
      <c r="X4" s="177" t="str">
        <f>IF(OR(Tot_Disab_Male=0,GoalAsPct_Tbl[[#This Row],[Learners with Disabilities Male]]=0),"No Goal",ROUND(Tot_Disab_Male*GoalAsPct_Tbl[[#This Row],[Learners with Disabilities Male]],0))</f>
        <v>No Goal</v>
      </c>
      <c r="Y4" s="177" t="str">
        <f>IF(OR(Tot_Disab_Female=0,GoalAsPct_Tbl[[#This Row],[Learners with Disabilities Female]]=0),"No Goal",ROUND(Tot_Disab_Female*GoalAsPct_Tbl[[#This Row],[Learners with Disabilities Female]],0))</f>
        <v>No Goal</v>
      </c>
      <c r="Z4" s="142" t="str">
        <f>IF(OR(Tot_Econ_Disadv=0,GoalAsPct_Tbl[[#This Row],[Economically Disadvantaged]]=0),"No Goal",ROUND(Tot_Econ_Disadv*GoalAsPct_Tbl[[#This Row],[Economically Disadvantaged]],0))</f>
        <v>No Goal</v>
      </c>
      <c r="AA4" s="142" t="str">
        <f>IF(OR(Tot_Econ_Disadv_Male=0,GoalAsPct_Tbl[[#This Row],[Economically Disadvantaged Male]]=0),"No Goal",ROUND(Tot_Econ_Disadv_Male*GoalAsPct_Tbl[[#This Row],[Economically Disadvantaged Male]],0))</f>
        <v>No Goal</v>
      </c>
      <c r="AB4" s="142" t="str">
        <f>IF(OR(Tot_Econ_Disadv_Female=0,GoalAsPct_Tbl[[#This Row],[Economically Disadvantaged Female]]=0),"No Goal",ROUND(Tot_Econ_Disadv_Female*GoalAsPct_Tbl[[#This Row],[Economically Disadvantaged Female]],0))</f>
        <v>No Goal</v>
      </c>
      <c r="AC4" s="177" t="str">
        <f>IF(OR(Tot_Eng_Lang=0,GoalAsPct_Tbl[[#This Row],[English Learner]]=0),"No Goal",ROUND(Tot_Eng_Lang*GoalAsPct_Tbl[[#This Row],[English Learner]],0))</f>
        <v>No Goal</v>
      </c>
      <c r="AD4" s="177" t="str">
        <f>IF(OR(Tot_Eng_Lang_Male=0,GoalAsPct_Tbl[[#This Row],[English Learner Male]]=0),"No Goal",ROUND(Tot_Eng_Lang_Male*GoalAsPct_Tbl[[#This Row],[English Learner Male]],0))</f>
        <v>No Goal</v>
      </c>
      <c r="AE4" s="177" t="str">
        <f>IF(OR(Tot_Eng_Lang_Female=0,GoalAsPct_Tbl[[#This Row],[English Learner Female]]=0),"No Goal",ROUND(Tot_Eng_Lang_Female*GoalAsPct_Tbl[[#This Row],[English Learner Female]],0))</f>
        <v>No Goal</v>
      </c>
      <c r="AF4" s="142" t="str">
        <f>IF(OR(Tot_Migrant=0,GoalAsPct_Tbl[[#This Row],[Migrant]]=0),"No Goal",ROUND(Tot_Migrant*GoalAsPct_Tbl[[#This Row],[Migrant]],0))</f>
        <v>No Goal</v>
      </c>
      <c r="AG4" s="142" t="str">
        <f>IF(OR(Tot_Migrant_Male=0,GoalAsPct_Tbl[[#This Row],[Migrant Male]]=0),"No Goal",ROUND(Tot_Migrant_Male*GoalAsPct_Tbl[[#This Row],[Migrant Male]],0))</f>
        <v>No Goal</v>
      </c>
      <c r="AH4" s="142" t="str">
        <f>IF(OR(Tot_Migrant_Female=0,GoalAsPct_Tbl[[#This Row],[Migrant Female]]=0),"No Goal",ROUND(Tot_Migrant_Female*GoalAsPct_Tbl[[#This Row],[Migrant Female]],0))</f>
        <v>No Goal</v>
      </c>
      <c r="AI4" s="28"/>
      <c r="AJ4" s="143"/>
      <c r="AK4" s="28"/>
      <c r="AL4" s="28"/>
      <c r="AM4" s="28"/>
      <c r="AN4" s="28"/>
      <c r="AO4" s="28"/>
      <c r="AP4" s="28"/>
      <c r="AQ4" s="28"/>
      <c r="AR4" s="28"/>
      <c r="AS4" s="28"/>
      <c r="AT4" s="28"/>
      <c r="AU4" s="28"/>
      <c r="AV4" s="28"/>
      <c r="AW4" s="28"/>
      <c r="AX4" s="28"/>
    </row>
    <row r="5" spans="1:50" ht="17" customHeight="1" x14ac:dyDescent="0.2">
      <c r="A5" s="48" t="str">
        <f>Count_Tbl[[#This Row],[Column1]]</f>
        <v>HWHD CTE Participation</v>
      </c>
      <c r="B5" s="176" t="str">
        <f>IF(OR(Tot_Student_Pop=0,GoalAsPct_Tbl[[#This Row],[Total Population for Each Indicator]]=0),"No Goal",ROUND(Tot_Student_Pop*GoalAsPct_Tbl[[#This Row],[Total Population for Each Indicator]],0))</f>
        <v>No Goal</v>
      </c>
      <c r="C5" s="33" t="str">
        <f>IF(OR(Tot_Male=0,GoalAsPct_Tbl[[#This Row],[Male]]=0),"No Goal",ROUND(Tot_Male*GoalAsPct_Tbl[[#This Row],[Male]],0))</f>
        <v>No Goal</v>
      </c>
      <c r="D5" s="33" t="str">
        <f>IF(OR(Tot_Female=0,GoalAsPct_Tbl[[#This Row],[Female]]=0),"No Goal",ROUND(Tot_Female*GoalAsPct_Tbl[[#This Row],[Female]],0))</f>
        <v>No Goal</v>
      </c>
      <c r="E5" s="35" t="str">
        <f>IF(OR(Tot_API=0,GoalAsPct_Tbl[[#This Row],[Asian or Pacific Islander]]=0),"No Goal",ROUND(Tot_API*GoalAsPct_Tbl[[#This Row],[Asian or Pacific Islander]],0))</f>
        <v>No Goal</v>
      </c>
      <c r="F5" s="35" t="str">
        <f>IF(OR(Tot_API_Male=0,GoalAsPct_Tbl[[#This Row],[Asian or Pacific Islander Male]]=0),"No Goal",ROUND(Tot_API_Male*GoalAsPct_Tbl[[#This Row],[Asian or Pacific Islander Male]],0))</f>
        <v>No Goal</v>
      </c>
      <c r="G5" s="35" t="str">
        <f>IF(OR(Tot_API_Female=0,GoalAsPct_Tbl[[#This Row],[Asian or Pacific Islander Female]]=0),"No Goal",ROUND(Tot_API_Female*GoalAsPct_Tbl[[#This Row],[Asian or Pacific Islander Female]],0))</f>
        <v>No Goal</v>
      </c>
      <c r="H5" s="33" t="str">
        <f>IF(OR(Tot_BNL=0,GoalAsPct_Tbl[[#This Row],[Black Non-Latinx]]=0),"No Goal",ROUND(Tot_BNL*GoalAsPct_Tbl[[#This Row],[Black Non-Latinx]],0))</f>
        <v>No Goal</v>
      </c>
      <c r="I5" s="33" t="str">
        <f>IF(OR(Tot_BNL_Male=0,GoalAsPct_Tbl[[#This Row],[Black Non-Latinx Male]]=0),"No Goal",ROUND(Tot_BNL_Male*GoalAsPct_Tbl[[#This Row],[Black Non-Latinx Male]],0))</f>
        <v>No Goal</v>
      </c>
      <c r="J5" s="33" t="str">
        <f>IF(OR(Tot_BNL_Female=0,GoalAsPct_Tbl[[#This Row],[Black Non-Latinx Female]]=0),"No Goal",ROUND(Tot_BNL_Female*GoalAsPct_Tbl[[#This Row],[Black Non-Latinx Female]],0))</f>
        <v>No Goal</v>
      </c>
      <c r="K5" s="35" t="str" cm="1">
        <f t="array" ref="K5">IF(OR(Tot_Latinx=0,GoalAsPct_Tbl[[#This Row],[Latinx]]=0),"No Goal",ROUND(Tot_Latinx*GoalAsPct_Tbl[[#This Row],[Latinx]],0))</f>
        <v>No Goal</v>
      </c>
      <c r="L5" s="35" t="str" cm="1">
        <f t="array" ref="L5">IF(OR(Tot_Latinx_Male=0,GoalAsPct_Tbl[[#This Row],[Latinx Male]]=0),"No Goal",ROUND(Tot_Latinx_Male*GoalAsPct_Tbl[[#This Row],[Latinx Male]],0))</f>
        <v>No Goal</v>
      </c>
      <c r="M5" s="35" t="str" cm="1">
        <f t="array" ref="M5">IF(OR(Tot_Latinx_Female=0,GoalAsPct_Tbl[[#This Row],[Latinx Female]]=0),"No Goal",ROUND(Tot_Latinx_Female*GoalAsPct_Tbl[[#This Row],[Latinx Female]],0))</f>
        <v>No Goal</v>
      </c>
      <c r="N5" s="33" t="str">
        <f>IF(OR(Tot_Multiracial=0,GoalAsPct_Tbl[[#This Row],[Multiracial]]=0),"No Goal",ROUND(Tot_Multiracial*GoalAsPct_Tbl[[#This Row],[Multiracial]],0))</f>
        <v>No Goal</v>
      </c>
      <c r="O5" s="33" t="str">
        <f>IF(OR(Tot_Multiracial_Male=0,GoalAsPct_Tbl[[#This Row],[Multiracial Male]]=0),"No Goal",ROUND(Tot_Multiracial_Male*GoalAsPct_Tbl[[#This Row],[Multiracial Male]],0))</f>
        <v>No Goal</v>
      </c>
      <c r="P5" s="33" t="str">
        <f>IF(OR(Tot_Multiracial_Female=0,GoalAsPct_Tbl[[#This Row],[Multiracial Female]]=0),"No Goal",ROUND(Tot_Multiracial_Female*GoalAsPct_Tbl[[#This Row],[Multiracial Female]],0))</f>
        <v>No Goal</v>
      </c>
      <c r="Q5" s="35" t="str">
        <f>IF(OR(Tot_AIorAN=0,GoalAsPct_Tbl[[#This Row],[Native American or Alaska Native]]=0),"No Goal",ROUND(Tot_AIorAN*GoalAsPct_Tbl[[#This Row],[Native American or Alaska Native]],0))</f>
        <v>No Goal</v>
      </c>
      <c r="R5" s="35" t="str">
        <f>IF(OR(Tot_AIorAN_Male=0,GoalAsPct_Tbl[[#This Row],[Native American or Alaska Native Male]]=0),"No Goal",ROUND(Tot_AIorAN_Male*GoalAsPct_Tbl[[#This Row],[Native American or Alaska Native Male]],0))</f>
        <v>No Goal</v>
      </c>
      <c r="S5" s="35" t="str">
        <f>IF(OR(Tot_AIorAN_Female=0,GoalAsPct_Tbl[[#This Row],[Native American or Alaska Native Female]]=0),"No Goal",ROUND(Tot_AIorAN_Female*GoalAsPct_Tbl[[#This Row],[Native American or Alaska Native Female]],0))</f>
        <v>No Goal</v>
      </c>
      <c r="T5" s="33" t="str" cm="1">
        <f t="array" ref="T5">IF(Tot_WN_Latinx*GoalAsPct_Tbl[[#This Row],[White Non-Latinx]]&lt;1,"No Goal",ROUND(Tot_WN_Latinx*GoalAsPct_Tbl[[#This Row],[White Non-Latinx]],0))</f>
        <v>No Goal</v>
      </c>
      <c r="U5" s="142" t="str" cm="1">
        <f t="array" ref="U5">IF(OR(Tot_WN_Latinx_Male=0,GoalAsPct_Tbl[[#This Row],[White Non-Latinx Male]]=0),"No Goal",ROUND(Tot_WN_Latinx_Male*GoalAsPct_Tbl[[#This Row],[White Non-Latinx Male]],0))</f>
        <v>No Goal</v>
      </c>
      <c r="V5" s="142" t="str" cm="1">
        <f t="array" ref="V5">IF(OR(Tot_WN_Latinx_Female=0,GoalAsPct_Tbl[[#This Row],[White Non-Latinx Female]]=0),"No Goal",ROUND(Tot_WN_Latinx_Female*GoalAsPct_Tbl[[#This Row],[White Non-Latinx Female]],0))</f>
        <v>No Goal</v>
      </c>
      <c r="W5" s="177" t="str">
        <f>IF(OR(Tot_Disab=0,GoalAsPct_Tbl[[#This Row],[Learners with Disabilities]]=0),"No Goal",ROUND(Tot_Disab*GoalAsPct_Tbl[[#This Row],[Learners with Disabilities]],0))</f>
        <v>No Goal</v>
      </c>
      <c r="X5" s="177" t="str">
        <f>IF(OR(Tot_Disab_Male=0,GoalAsPct_Tbl[[#This Row],[Learners with Disabilities Male]]=0),"No Goal",ROUND(Tot_Disab_Male*GoalAsPct_Tbl[[#This Row],[Learners with Disabilities Male]],0))</f>
        <v>No Goal</v>
      </c>
      <c r="Y5" s="177" t="str">
        <f>IF(OR(Tot_Disab_Female=0,GoalAsPct_Tbl[[#This Row],[Learners with Disabilities Female]]=0),"No Goal",ROUND(Tot_Disab_Female*GoalAsPct_Tbl[[#This Row],[Learners with Disabilities Female]],0))</f>
        <v>No Goal</v>
      </c>
      <c r="Z5" s="142" t="str">
        <f>IF(OR(Tot_Econ_Disadv=0,GoalAsPct_Tbl[[#This Row],[Economically Disadvantaged]]=0),"No Goal",ROUND(Tot_Econ_Disadv*GoalAsPct_Tbl[[#This Row],[Economically Disadvantaged]],0))</f>
        <v>No Goal</v>
      </c>
      <c r="AA5" s="142" t="str">
        <f>IF(OR(Tot_Econ_Disadv_Male=0,GoalAsPct_Tbl[[#This Row],[Economically Disadvantaged Male]]=0),"No Goal",ROUND(Tot_Econ_Disadv_Male*GoalAsPct_Tbl[[#This Row],[Economically Disadvantaged Male]],0))</f>
        <v>No Goal</v>
      </c>
      <c r="AB5" s="142" t="str">
        <f>IF(OR(Tot_Econ_Disadv_Female=0,GoalAsPct_Tbl[[#This Row],[Economically Disadvantaged Female]]=0),"No Goal",ROUND(Tot_Econ_Disadv_Female*GoalAsPct_Tbl[[#This Row],[Economically Disadvantaged Female]],0))</f>
        <v>No Goal</v>
      </c>
      <c r="AC5" s="177" t="str">
        <f>IF(OR(Tot_Eng_Lang=0,GoalAsPct_Tbl[[#This Row],[English Learner]]=0),"No Goal",ROUND(Tot_Eng_Lang*GoalAsPct_Tbl[[#This Row],[English Learner]],0))</f>
        <v>No Goal</v>
      </c>
      <c r="AD5" s="177" t="str">
        <f>IF(OR(Tot_Eng_Lang_Male=0,GoalAsPct_Tbl[[#This Row],[English Learner Male]]=0),"No Goal",ROUND(Tot_Eng_Lang_Male*GoalAsPct_Tbl[[#This Row],[English Learner Male]],0))</f>
        <v>No Goal</v>
      </c>
      <c r="AE5" s="35" t="str">
        <f>IF(Tot_Eng_Lang_Female*GoalAsPct_Tbl[[#This Row],[English Learner Female]]&lt;1,"No Goal",ROUND(Tot_Eng_Lang_Female*GoalAsPct_Tbl[[#This Row],[English Learner Female]],0))</f>
        <v>No Goal</v>
      </c>
      <c r="AF5" s="33" t="str">
        <f>IF(Tot_Migrant*GoalAsPct_Tbl[[#This Row],[Migrant]]&lt;1,"No Goal",ROUND(Tot_Migrant*GoalAsPct_Tbl[[#This Row],[Migrant]],0))</f>
        <v>No Goal</v>
      </c>
      <c r="AG5" s="142" t="str">
        <f>IF(OR(Tot_Migrant_Male=0,GoalAsPct_Tbl[[#This Row],[Migrant Male]]=0),"No Goal",ROUND(Tot_Migrant_Male*GoalAsPct_Tbl[[#This Row],[Migrant Male]],0))</f>
        <v>No Goal</v>
      </c>
      <c r="AH5" s="142" t="str">
        <f>IF(OR(Tot_Migrant_Female=0,GoalAsPct_Tbl[[#This Row],[Migrant Female]]=0),"No Goal",ROUND(Tot_Migrant_Female*GoalAsPct_Tbl[[#This Row],[Migrant Female]],0))</f>
        <v>No Goal</v>
      </c>
      <c r="AI5" s="28"/>
      <c r="AJ5" s="28"/>
      <c r="AK5" s="28"/>
      <c r="AL5" s="28"/>
      <c r="AM5" s="28"/>
      <c r="AN5" s="28"/>
      <c r="AO5" s="28"/>
      <c r="AP5" s="28"/>
      <c r="AQ5" s="28"/>
      <c r="AR5" s="28"/>
      <c r="AS5" s="28"/>
      <c r="AT5" s="28"/>
    </row>
    <row r="6" spans="1:50" ht="17" customHeight="1" x14ac:dyDescent="0.2">
      <c r="A6" s="48" t="str">
        <f>Count_Tbl[[#This Row],[Column1]]</f>
        <v>CTE Concentration</v>
      </c>
      <c r="B6" s="176" t="str">
        <f>IF(OR(Tot_Student_Pop=0,GoalAsPct_Tbl[[#This Row],[Total Population for Each Indicator]]=0),"No Goal",ROUND(Tot_Student_Pop*GoalAsPct_Tbl[[#This Row],[Total Population for Each Indicator]],0))</f>
        <v>No Goal</v>
      </c>
      <c r="C6" s="33" t="str">
        <f>IF(OR(Tot_Male=0,GoalAsPct_Tbl[[#This Row],[Male]]=0),"No Goal",ROUND(Tot_Male*GoalAsPct_Tbl[[#This Row],[Male]],0))</f>
        <v>No Goal</v>
      </c>
      <c r="D6" s="33" t="str">
        <f>IF(OR(Tot_Female=0,GoalAsPct_Tbl[[#This Row],[Female]]=0),"No Goal",ROUND(Tot_Female*GoalAsPct_Tbl[[#This Row],[Female]],0))</f>
        <v>No Goal</v>
      </c>
      <c r="E6" s="35" t="str">
        <f>IF(OR(Tot_API=0,GoalAsPct_Tbl[[#This Row],[Asian or Pacific Islander]]=0),"No Goal",ROUND(Tot_API*GoalAsPct_Tbl[[#This Row],[Asian or Pacific Islander]],0))</f>
        <v>No Goal</v>
      </c>
      <c r="F6" s="35" t="str">
        <f>IF(OR(Tot_API_Male=0,GoalAsPct_Tbl[[#This Row],[Asian or Pacific Islander Male]]=0),"No Goal",ROUND(Tot_API_Male*GoalAsPct_Tbl[[#This Row],[Asian or Pacific Islander Male]],0))</f>
        <v>No Goal</v>
      </c>
      <c r="G6" s="35" t="str">
        <f>IF(OR(Tot_API_Female=0,GoalAsPct_Tbl[[#This Row],[Asian or Pacific Islander Female]]=0),"No Goal",ROUND(Tot_API_Female*GoalAsPct_Tbl[[#This Row],[Asian or Pacific Islander Female]],0))</f>
        <v>No Goal</v>
      </c>
      <c r="H6" s="33" t="str">
        <f>IF(OR(Tot_BNL=0,GoalAsPct_Tbl[[#This Row],[Black Non-Latinx]]=0),"No Goal",ROUND(Tot_BNL*GoalAsPct_Tbl[[#This Row],[Black Non-Latinx]],0))</f>
        <v>No Goal</v>
      </c>
      <c r="I6" s="33" t="str">
        <f>IF(OR(Tot_BNL_Male=0,GoalAsPct_Tbl[[#This Row],[Black Non-Latinx Male]]=0),"No Goal",ROUND(Tot_BNL_Male*GoalAsPct_Tbl[[#This Row],[Black Non-Latinx Male]],0))</f>
        <v>No Goal</v>
      </c>
      <c r="J6" s="33" t="str">
        <f>IF(OR(Tot_BNL_Female=0,GoalAsPct_Tbl[[#This Row],[Black Non-Latinx Female]]=0),"No Goal",ROUND(Tot_BNL_Female*GoalAsPct_Tbl[[#This Row],[Black Non-Latinx Female]],0))</f>
        <v>No Goal</v>
      </c>
      <c r="K6" s="35" t="str" cm="1">
        <f t="array" ref="K6">IF(OR(Tot_Latinx=0,GoalAsPct_Tbl[[#This Row],[Latinx]]=0),"No Goal",ROUND(Tot_Latinx*GoalAsPct_Tbl[[#This Row],[Latinx]],0))</f>
        <v>No Goal</v>
      </c>
      <c r="L6" s="35" t="str" cm="1">
        <f t="array" ref="L6">IF(OR(Tot_Latinx_Male=0,GoalAsPct_Tbl[[#This Row],[Latinx Male]]=0),"No Goal",ROUND(Tot_Latinx_Male*GoalAsPct_Tbl[[#This Row],[Latinx Male]],0))</f>
        <v>No Goal</v>
      </c>
      <c r="M6" s="35" t="str" cm="1">
        <f t="array" ref="M6">IF(OR(Tot_Latinx_Female=0,GoalAsPct_Tbl[[#This Row],[Latinx Female]]=0),"No Goal",ROUND(Tot_Latinx_Female*GoalAsPct_Tbl[[#This Row],[Latinx Female]],0))</f>
        <v>No Goal</v>
      </c>
      <c r="N6" s="33" t="str">
        <f>IF(OR(Tot_Multiracial=0,GoalAsPct_Tbl[[#This Row],[Multiracial]]=0),"No Goal",ROUND(Tot_Multiracial*GoalAsPct_Tbl[[#This Row],[Multiracial]],0))</f>
        <v>No Goal</v>
      </c>
      <c r="O6" s="33" t="str">
        <f>IF(OR(Tot_Multiracial_Male=0,GoalAsPct_Tbl[[#This Row],[Multiracial Male]]=0),"No Goal",ROUND(Tot_Multiracial_Male*GoalAsPct_Tbl[[#This Row],[Multiracial Male]],0))</f>
        <v>No Goal</v>
      </c>
      <c r="P6" s="33" t="str">
        <f>IF(OR(Tot_Multiracial_Female=0,GoalAsPct_Tbl[[#This Row],[Multiracial Female]]=0),"No Goal",ROUND(Tot_Multiracial_Female*GoalAsPct_Tbl[[#This Row],[Multiracial Female]],0))</f>
        <v>No Goal</v>
      </c>
      <c r="Q6" s="35" t="str">
        <f>IF(OR(Tot_AIorAN=0,GoalAsPct_Tbl[[#This Row],[Native American or Alaska Native]]=0),"No Goal",ROUND(Tot_AIorAN*GoalAsPct_Tbl[[#This Row],[Native American or Alaska Native]],0))</f>
        <v>No Goal</v>
      </c>
      <c r="R6" s="35" t="str">
        <f>IF(OR(Tot_AIorAN_Male=0,GoalAsPct_Tbl[[#This Row],[Native American or Alaska Native Male]]=0),"No Goal",ROUND(Tot_AIorAN_Male*GoalAsPct_Tbl[[#This Row],[Native American or Alaska Native Male]],0))</f>
        <v>No Goal</v>
      </c>
      <c r="S6" s="35" t="str">
        <f>IF(OR(Tot_AIorAN_Female=0,GoalAsPct_Tbl[[#This Row],[Native American or Alaska Native Female]]=0),"No Goal",ROUND(Tot_AIorAN_Female*GoalAsPct_Tbl[[#This Row],[Native American or Alaska Native Female]],0))</f>
        <v>No Goal</v>
      </c>
      <c r="T6" s="33" t="str" cm="1">
        <f t="array" ref="T6">IF(Tot_WN_Latinx*GoalAsPct_Tbl[[#This Row],[White Non-Latinx]]&lt;1,"No Goal",ROUND(Tot_WN_Latinx*GoalAsPct_Tbl[[#This Row],[White Non-Latinx]],0))</f>
        <v>No Goal</v>
      </c>
      <c r="U6" s="142" t="str" cm="1">
        <f t="array" ref="U6">IF(OR(Tot_WN_Latinx_Male=0,GoalAsPct_Tbl[[#This Row],[White Non-Latinx Male]]=0),"No Goal",ROUND(Tot_WN_Latinx_Male*GoalAsPct_Tbl[[#This Row],[White Non-Latinx Male]],0))</f>
        <v>No Goal</v>
      </c>
      <c r="V6" s="142" t="str" cm="1">
        <f t="array" ref="V6">IF(OR(Tot_WN_Latinx_Female=0,GoalAsPct_Tbl[[#This Row],[White Non-Latinx Female]]=0),"No Goal",ROUND(Tot_WN_Latinx_Female*GoalAsPct_Tbl[[#This Row],[White Non-Latinx Female]],0))</f>
        <v>No Goal</v>
      </c>
      <c r="W6" s="177" t="str">
        <f>IF(OR(Tot_Disab=0,GoalAsPct_Tbl[[#This Row],[Learners with Disabilities]]=0),"No Goal",ROUND(Tot_Disab*GoalAsPct_Tbl[[#This Row],[Learners with Disabilities]],0))</f>
        <v>No Goal</v>
      </c>
      <c r="X6" s="177" t="str">
        <f>IF(OR(Tot_Disab_Male=0,GoalAsPct_Tbl[[#This Row],[Learners with Disabilities Male]]=0),"No Goal",ROUND(Tot_Disab_Male*GoalAsPct_Tbl[[#This Row],[Learners with Disabilities Male]],0))</f>
        <v>No Goal</v>
      </c>
      <c r="Y6" s="177" t="str">
        <f>IF(OR(Tot_Disab_Female=0,GoalAsPct_Tbl[[#This Row],[Learners with Disabilities Female]]=0),"No Goal",ROUND(Tot_Disab_Female*GoalAsPct_Tbl[[#This Row],[Learners with Disabilities Female]],0))</f>
        <v>No Goal</v>
      </c>
      <c r="Z6" s="142" t="str">
        <f>IF(OR(Tot_Econ_Disadv=0,GoalAsPct_Tbl[[#This Row],[Economically Disadvantaged]]=0),"No Goal",ROUND(Tot_Econ_Disadv*GoalAsPct_Tbl[[#This Row],[Economically Disadvantaged]],0))</f>
        <v>No Goal</v>
      </c>
      <c r="AA6" s="142" t="str">
        <f>IF(OR(Tot_Econ_Disadv_Male=0,GoalAsPct_Tbl[[#This Row],[Economically Disadvantaged Male]]=0),"No Goal",ROUND(Tot_Econ_Disadv_Male*GoalAsPct_Tbl[[#This Row],[Economically Disadvantaged Male]],0))</f>
        <v>No Goal</v>
      </c>
      <c r="AB6" s="142" t="str">
        <f>IF(OR(Tot_Econ_Disadv_Female=0,GoalAsPct_Tbl[[#This Row],[Economically Disadvantaged Female]]=0),"No Goal",ROUND(Tot_Econ_Disadv_Female*GoalAsPct_Tbl[[#This Row],[Economically Disadvantaged Female]],0))</f>
        <v>No Goal</v>
      </c>
      <c r="AC6" s="177" t="str">
        <f>IF(OR(Tot_Eng_Lang=0,GoalAsPct_Tbl[[#This Row],[English Learner]]=0),"No Goal",ROUND(Tot_Eng_Lang*GoalAsPct_Tbl[[#This Row],[English Learner]],0))</f>
        <v>No Goal</v>
      </c>
      <c r="AD6" s="177" t="str">
        <f>IF(OR(Tot_Eng_Lang_Male=0,GoalAsPct_Tbl[[#This Row],[English Learner Male]]=0),"No Goal",ROUND(Tot_Eng_Lang_Male*GoalAsPct_Tbl[[#This Row],[English Learner Male]],0))</f>
        <v>No Goal</v>
      </c>
      <c r="AE6" s="35" t="str">
        <f>IF(Tot_Eng_Lang_Female*GoalAsPct_Tbl[[#This Row],[English Learner Female]]&lt;1,"No Goal",ROUND(Tot_Eng_Lang_Female*GoalAsPct_Tbl[[#This Row],[English Learner Female]],0))</f>
        <v>No Goal</v>
      </c>
      <c r="AF6" s="33" t="str">
        <f>IF(Tot_Migrant*GoalAsPct_Tbl[[#This Row],[Migrant]]&lt;1,"No Goal",ROUND(Tot_Migrant*GoalAsPct_Tbl[[#This Row],[Migrant]],0))</f>
        <v>No Goal</v>
      </c>
      <c r="AG6" s="142" t="str">
        <f>IF(OR(Tot_Migrant_Male=0,GoalAsPct_Tbl[[#This Row],[Migrant Male]]=0),"No Goal",ROUND(Tot_Migrant_Male*GoalAsPct_Tbl[[#This Row],[Migrant Male]],0))</f>
        <v>No Goal</v>
      </c>
      <c r="AH6" s="142" t="str">
        <f>IF(OR(Tot_Migrant_Female=0,GoalAsPct_Tbl[[#This Row],[Migrant Female]]=0),"No Goal",ROUND(Tot_Migrant_Female*GoalAsPct_Tbl[[#This Row],[Migrant Female]],0))</f>
        <v>No Goal</v>
      </c>
      <c r="AI6" s="28"/>
      <c r="AJ6" s="28"/>
      <c r="AK6" s="28"/>
      <c r="AL6" s="28"/>
      <c r="AM6" s="28"/>
      <c r="AN6" s="28"/>
      <c r="AO6" s="28"/>
      <c r="AP6" s="28"/>
      <c r="AQ6" s="28"/>
      <c r="AR6" s="28"/>
      <c r="AS6" s="28"/>
      <c r="AT6" s="28"/>
    </row>
    <row r="7" spans="1:50" ht="17" customHeight="1" x14ac:dyDescent="0.2">
      <c r="A7" s="48" t="str">
        <f>Count_Tbl[[#This Row],[Column1]]</f>
        <v>HWHD CTE Concentration</v>
      </c>
      <c r="B7" s="176" t="str">
        <f>IF(OR(Tot_Student_Pop=0,GoalAsPct_Tbl[[#This Row],[Total Population for Each Indicator]]=0),"No Goal",ROUND(Tot_Student_Pop*GoalAsPct_Tbl[[#This Row],[Total Population for Each Indicator]],0))</f>
        <v>No Goal</v>
      </c>
      <c r="C7" s="33" t="str">
        <f>IF(OR(Tot_Male=0,GoalAsPct_Tbl[[#This Row],[Male]]=0),"No Goal",ROUND(Tot_Male*GoalAsPct_Tbl[[#This Row],[Male]],0))</f>
        <v>No Goal</v>
      </c>
      <c r="D7" s="33" t="str">
        <f>IF(OR(Tot_Female=0,GoalAsPct_Tbl[[#This Row],[Female]]=0),"No Goal",ROUND(Tot_Female*GoalAsPct_Tbl[[#This Row],[Female]],0))</f>
        <v>No Goal</v>
      </c>
      <c r="E7" s="35" t="str">
        <f>IF(OR(Tot_API=0,GoalAsPct_Tbl[[#This Row],[Asian or Pacific Islander]]=0),"No Goal",ROUND(Tot_API*GoalAsPct_Tbl[[#This Row],[Asian or Pacific Islander]],0))</f>
        <v>No Goal</v>
      </c>
      <c r="F7" s="35" t="str">
        <f>IF(OR(Tot_API_Male=0,GoalAsPct_Tbl[[#This Row],[Asian or Pacific Islander Male]]=0),"No Goal",ROUND(Tot_API_Male*GoalAsPct_Tbl[[#This Row],[Asian or Pacific Islander Male]],0))</f>
        <v>No Goal</v>
      </c>
      <c r="G7" s="35" t="str">
        <f>IF(OR(Tot_API_Female=0,GoalAsPct_Tbl[[#This Row],[Asian or Pacific Islander Female]]=0),"No Goal",ROUND(Tot_API_Female*GoalAsPct_Tbl[[#This Row],[Asian or Pacific Islander Female]],0))</f>
        <v>No Goal</v>
      </c>
      <c r="H7" s="33" t="str">
        <f>IF(OR(Tot_BNL=0,GoalAsPct_Tbl[[#This Row],[Black Non-Latinx]]=0),"No Goal",ROUND(Tot_BNL*GoalAsPct_Tbl[[#This Row],[Black Non-Latinx]],0))</f>
        <v>No Goal</v>
      </c>
      <c r="I7" s="33" t="str">
        <f>IF(OR(Tot_BNL_Male=0,GoalAsPct_Tbl[[#This Row],[Black Non-Latinx Male]]=0),"No Goal",ROUND(Tot_BNL_Male*GoalAsPct_Tbl[[#This Row],[Black Non-Latinx Male]],0))</f>
        <v>No Goal</v>
      </c>
      <c r="J7" s="33" t="str">
        <f>IF(OR(Tot_BNL_Female=0,GoalAsPct_Tbl[[#This Row],[Black Non-Latinx Female]]=0),"No Goal",ROUND(Tot_BNL_Female*GoalAsPct_Tbl[[#This Row],[Black Non-Latinx Female]],0))</f>
        <v>No Goal</v>
      </c>
      <c r="K7" s="35" t="str" cm="1">
        <f t="array" ref="K7">IF(OR(Tot_Latinx=0,GoalAsPct_Tbl[[#This Row],[Latinx]]=0),"No Goal",ROUND(Tot_Latinx*GoalAsPct_Tbl[[#This Row],[Latinx]],0))</f>
        <v>No Goal</v>
      </c>
      <c r="L7" s="35" t="str" cm="1">
        <f t="array" ref="L7">IF(OR(Tot_Latinx_Male=0,GoalAsPct_Tbl[[#This Row],[Latinx Male]]=0),"No Goal",ROUND(Tot_Latinx_Male*GoalAsPct_Tbl[[#This Row],[Latinx Male]],0))</f>
        <v>No Goal</v>
      </c>
      <c r="M7" s="35" t="str" cm="1">
        <f t="array" ref="M7">IF(OR(Tot_Latinx_Female=0,GoalAsPct_Tbl[[#This Row],[Latinx Female]]=0),"No Goal",ROUND(Tot_Latinx_Female*GoalAsPct_Tbl[[#This Row],[Latinx Female]],0))</f>
        <v>No Goal</v>
      </c>
      <c r="N7" s="33" t="str">
        <f>IF(OR(Tot_Multiracial=0,GoalAsPct_Tbl[[#This Row],[Multiracial]]=0),"No Goal",ROUND(Tot_Multiracial*GoalAsPct_Tbl[[#This Row],[Multiracial]],0))</f>
        <v>No Goal</v>
      </c>
      <c r="O7" s="33" t="str">
        <f>IF(OR(Tot_Multiracial_Male=0,GoalAsPct_Tbl[[#This Row],[Multiracial Male]]=0),"No Goal",ROUND(Tot_Multiracial_Male*GoalAsPct_Tbl[[#This Row],[Multiracial Male]],0))</f>
        <v>No Goal</v>
      </c>
      <c r="P7" s="33" t="str">
        <f>IF(OR(Tot_Multiracial_Female=0,GoalAsPct_Tbl[[#This Row],[Multiracial Female]]=0),"No Goal",ROUND(Tot_Multiracial_Female*GoalAsPct_Tbl[[#This Row],[Multiracial Female]],0))</f>
        <v>No Goal</v>
      </c>
      <c r="Q7" s="35" t="str">
        <f>IF(OR(Tot_AIorAN=0,GoalAsPct_Tbl[[#This Row],[Native American or Alaska Native]]=0),"No Goal",ROUND(Tot_AIorAN*GoalAsPct_Tbl[[#This Row],[Native American or Alaska Native]],0))</f>
        <v>No Goal</v>
      </c>
      <c r="R7" s="35" t="str">
        <f>IF(OR(Tot_AIorAN_Male=0,GoalAsPct_Tbl[[#This Row],[Native American or Alaska Native Male]]=0),"No Goal",ROUND(Tot_AIorAN_Male*GoalAsPct_Tbl[[#This Row],[Native American or Alaska Native Male]],0))</f>
        <v>No Goal</v>
      </c>
      <c r="S7" s="35" t="str">
        <f>IF(OR(Tot_AIorAN_Female=0,GoalAsPct_Tbl[[#This Row],[Native American or Alaska Native Female]]=0),"No Goal",ROUND(Tot_AIorAN_Female*GoalAsPct_Tbl[[#This Row],[Native American or Alaska Native Female]],0))</f>
        <v>No Goal</v>
      </c>
      <c r="T7" s="33" t="str" cm="1">
        <f t="array" ref="T7">IF(Tot_WN_Latinx*GoalAsPct_Tbl[[#This Row],[White Non-Latinx]]&lt;1,"No Goal",ROUND(Tot_WN_Latinx*GoalAsPct_Tbl[[#This Row],[White Non-Latinx]],0))</f>
        <v>No Goal</v>
      </c>
      <c r="U7" s="142" t="str" cm="1">
        <f t="array" ref="U7">IF(OR(Tot_WN_Latinx_Male=0,GoalAsPct_Tbl[[#This Row],[White Non-Latinx Male]]=0),"No Goal",ROUND(Tot_WN_Latinx_Male*GoalAsPct_Tbl[[#This Row],[White Non-Latinx Male]],0))</f>
        <v>No Goal</v>
      </c>
      <c r="V7" s="142" t="str" cm="1">
        <f t="array" ref="V7">IF(OR(Tot_WN_Latinx_Female=0,GoalAsPct_Tbl[[#This Row],[White Non-Latinx Female]]=0),"No Goal",ROUND(Tot_WN_Latinx_Female*GoalAsPct_Tbl[[#This Row],[White Non-Latinx Female]],0))</f>
        <v>No Goal</v>
      </c>
      <c r="W7" s="177" t="str">
        <f>IF(OR(Tot_Disab=0,GoalAsPct_Tbl[[#This Row],[Learners with Disabilities]]=0),"No Goal",ROUND(Tot_Disab*GoalAsPct_Tbl[[#This Row],[Learners with Disabilities]],0))</f>
        <v>No Goal</v>
      </c>
      <c r="X7" s="177" t="str">
        <f>IF(OR(Tot_Disab_Male=0,GoalAsPct_Tbl[[#This Row],[Learners with Disabilities Male]]=0),"No Goal",ROUND(Tot_Disab_Male*GoalAsPct_Tbl[[#This Row],[Learners with Disabilities Male]],0))</f>
        <v>No Goal</v>
      </c>
      <c r="Y7" s="177" t="str">
        <f>IF(OR(Tot_Disab_Female=0,GoalAsPct_Tbl[[#This Row],[Learners with Disabilities Female]]=0),"No Goal",ROUND(Tot_Disab_Female*GoalAsPct_Tbl[[#This Row],[Learners with Disabilities Female]],0))</f>
        <v>No Goal</v>
      </c>
      <c r="Z7" s="142" t="str">
        <f>IF(OR(Tot_Econ_Disadv=0,GoalAsPct_Tbl[[#This Row],[Economically Disadvantaged]]=0),"No Goal",ROUND(Tot_Econ_Disadv*GoalAsPct_Tbl[[#This Row],[Economically Disadvantaged]],0))</f>
        <v>No Goal</v>
      </c>
      <c r="AA7" s="142" t="str">
        <f>IF(OR(Tot_Econ_Disadv_Male=0,GoalAsPct_Tbl[[#This Row],[Economically Disadvantaged Male]]=0),"No Goal",ROUND(Tot_Econ_Disadv_Male*GoalAsPct_Tbl[[#This Row],[Economically Disadvantaged Male]],0))</f>
        <v>No Goal</v>
      </c>
      <c r="AB7" s="142" t="str">
        <f>IF(OR(Tot_Econ_Disadv_Female=0,GoalAsPct_Tbl[[#This Row],[Economically Disadvantaged Female]]=0),"No Goal",ROUND(Tot_Econ_Disadv_Female*GoalAsPct_Tbl[[#This Row],[Economically Disadvantaged Female]],0))</f>
        <v>No Goal</v>
      </c>
      <c r="AC7" s="177" t="str">
        <f>IF(OR(Tot_Eng_Lang=0,GoalAsPct_Tbl[[#This Row],[English Learner]]=0),"No Goal",ROUND(Tot_Eng_Lang*GoalAsPct_Tbl[[#This Row],[English Learner]],0))</f>
        <v>No Goal</v>
      </c>
      <c r="AD7" s="177" t="str">
        <f>IF(OR(Tot_Eng_Lang_Male=0,GoalAsPct_Tbl[[#This Row],[English Learner Male]]=0),"No Goal",ROUND(Tot_Eng_Lang_Male*GoalAsPct_Tbl[[#This Row],[English Learner Male]],0))</f>
        <v>No Goal</v>
      </c>
      <c r="AE7" s="35" t="str">
        <f>IF(Tot_Eng_Lang_Female*GoalAsPct_Tbl[[#This Row],[English Learner Female]]&lt;1,"No Goal",ROUND(Tot_Eng_Lang_Female*GoalAsPct_Tbl[[#This Row],[English Learner Female]],0))</f>
        <v>No Goal</v>
      </c>
      <c r="AF7" s="33" t="str">
        <f>IF(Tot_Migrant*GoalAsPct_Tbl[[#This Row],[Migrant]]&lt;1,"No Goal",ROUND(Tot_Migrant*GoalAsPct_Tbl[[#This Row],[Migrant]],0))</f>
        <v>No Goal</v>
      </c>
      <c r="AG7" s="142" t="str">
        <f>IF(OR(Tot_Migrant_Male=0,GoalAsPct_Tbl[[#This Row],[Migrant Male]]=0),"No Goal",ROUND(Tot_Migrant_Male*GoalAsPct_Tbl[[#This Row],[Migrant Male]],0))</f>
        <v>No Goal</v>
      </c>
      <c r="AH7" s="142" t="str">
        <f>IF(OR(Tot_Migrant_Female=0,GoalAsPct_Tbl[[#This Row],[Migrant Female]]=0),"No Goal",ROUND(Tot_Migrant_Female*GoalAsPct_Tbl[[#This Row],[Migrant Female]],0))</f>
        <v>No Goal</v>
      </c>
      <c r="AI7" s="28"/>
      <c r="AJ7" s="28"/>
      <c r="AK7" s="28"/>
      <c r="AL7" s="28"/>
      <c r="AM7" s="28"/>
      <c r="AN7" s="28"/>
      <c r="AO7" s="28"/>
      <c r="AP7" s="28"/>
      <c r="AQ7" s="28"/>
      <c r="AR7" s="28"/>
      <c r="AS7" s="28"/>
      <c r="AT7" s="28"/>
    </row>
    <row r="8" spans="1:50" ht="17" customHeight="1" x14ac:dyDescent="0.2">
      <c r="A8" s="48" t="str">
        <f>Count_Tbl[[#This Row],[Column1]]</f>
        <v>WBL Completion</v>
      </c>
      <c r="B8" s="176" t="str">
        <f>IF(OR(Tot_Student_Pop=0,GoalAsPct_Tbl[[#This Row],[Total Population for Each Indicator]]=0),"No Goal",ROUND(Tot_Student_Pop*GoalAsPct_Tbl[[#This Row],[Total Population for Each Indicator]],0))</f>
        <v>No Goal</v>
      </c>
      <c r="C8" s="33" t="str">
        <f>IF(OR(Tot_Male=0,GoalAsPct_Tbl[[#This Row],[Male]]=0),"No Goal",ROUND(Tot_Male*GoalAsPct_Tbl[[#This Row],[Male]],0))</f>
        <v>No Goal</v>
      </c>
      <c r="D8" s="33" t="str">
        <f>IF(OR(Tot_Female=0,GoalAsPct_Tbl[[#This Row],[Female]]=0),"No Goal",ROUND(Tot_Female*GoalAsPct_Tbl[[#This Row],[Female]],0))</f>
        <v>No Goal</v>
      </c>
      <c r="E8" s="35" t="str">
        <f>IF(OR(Tot_API=0,GoalAsPct_Tbl[[#This Row],[Asian or Pacific Islander]]=0),"No Goal",ROUND(Tot_API*GoalAsPct_Tbl[[#This Row],[Asian or Pacific Islander]],0))</f>
        <v>No Goal</v>
      </c>
      <c r="F8" s="35" t="str">
        <f>IF(OR(Tot_API_Male=0,GoalAsPct_Tbl[[#This Row],[Asian or Pacific Islander Male]]=0),"No Goal",ROUND(Tot_API_Male*GoalAsPct_Tbl[[#This Row],[Asian or Pacific Islander Male]],0))</f>
        <v>No Goal</v>
      </c>
      <c r="G8" s="35" t="str">
        <f>IF(OR(Tot_API_Female=0,GoalAsPct_Tbl[[#This Row],[Asian or Pacific Islander Female]]=0),"No Goal",ROUND(Tot_API_Female*GoalAsPct_Tbl[[#This Row],[Asian or Pacific Islander Female]],0))</f>
        <v>No Goal</v>
      </c>
      <c r="H8" s="33" t="str">
        <f>IF(OR(Tot_BNL=0,GoalAsPct_Tbl[[#This Row],[Black Non-Latinx]]=0),"No Goal",ROUND(Tot_BNL*GoalAsPct_Tbl[[#This Row],[Black Non-Latinx]],0))</f>
        <v>No Goal</v>
      </c>
      <c r="I8" s="33" t="str">
        <f>IF(OR(Tot_BNL_Male=0,GoalAsPct_Tbl[[#This Row],[Black Non-Latinx Male]]=0),"No Goal",ROUND(Tot_BNL_Male*GoalAsPct_Tbl[[#This Row],[Black Non-Latinx Male]],0))</f>
        <v>No Goal</v>
      </c>
      <c r="J8" s="33" t="str">
        <f>IF(OR(Tot_BNL_Female=0,GoalAsPct_Tbl[[#This Row],[Black Non-Latinx Female]]=0),"No Goal",ROUND(Tot_BNL_Female*GoalAsPct_Tbl[[#This Row],[Black Non-Latinx Female]],0))</f>
        <v>No Goal</v>
      </c>
      <c r="K8" s="35" t="str" cm="1">
        <f t="array" ref="K8">IF(OR(Tot_Latinx=0,GoalAsPct_Tbl[[#This Row],[Latinx]]=0),"No Goal",ROUND(Tot_Latinx*GoalAsPct_Tbl[[#This Row],[Latinx]],0))</f>
        <v>No Goal</v>
      </c>
      <c r="L8" s="35" t="str" cm="1">
        <f t="array" ref="L8">IF(OR(Tot_Latinx_Male=0,GoalAsPct_Tbl[[#This Row],[Latinx Male]]=0),"No Goal",ROUND(Tot_Latinx_Male*GoalAsPct_Tbl[[#This Row],[Latinx Male]],0))</f>
        <v>No Goal</v>
      </c>
      <c r="M8" s="35" t="str" cm="1">
        <f t="array" ref="M8">IF(OR(Tot_Latinx_Female=0,GoalAsPct_Tbl[[#This Row],[Latinx Female]]=0),"No Goal",ROUND(Tot_Latinx_Female*GoalAsPct_Tbl[[#This Row],[Latinx Female]],0))</f>
        <v>No Goal</v>
      </c>
      <c r="N8" s="33" t="str">
        <f>IF(OR(Tot_Multiracial=0,GoalAsPct_Tbl[[#This Row],[Multiracial]]=0),"No Goal",ROUND(Tot_Multiracial*GoalAsPct_Tbl[[#This Row],[Multiracial]],0))</f>
        <v>No Goal</v>
      </c>
      <c r="O8" s="33" t="str">
        <f>IF(OR(Tot_Multiracial_Male=0,GoalAsPct_Tbl[[#This Row],[Multiracial Male]]=0),"No Goal",ROUND(Tot_Multiracial_Male*GoalAsPct_Tbl[[#This Row],[Multiracial Male]],0))</f>
        <v>No Goal</v>
      </c>
      <c r="P8" s="33" t="str">
        <f>IF(OR(Tot_Multiracial_Female=0,GoalAsPct_Tbl[[#This Row],[Multiracial Female]]=0),"No Goal",ROUND(Tot_Multiracial_Female*GoalAsPct_Tbl[[#This Row],[Multiracial Female]],0))</f>
        <v>No Goal</v>
      </c>
      <c r="Q8" s="35" t="str">
        <f>IF(OR(Tot_AIorAN=0,GoalAsPct_Tbl[[#This Row],[Native American or Alaska Native]]=0),"No Goal",ROUND(Tot_AIorAN*GoalAsPct_Tbl[[#This Row],[Native American or Alaska Native]],0))</f>
        <v>No Goal</v>
      </c>
      <c r="R8" s="35" t="str">
        <f>IF(OR(Tot_AIorAN_Male=0,GoalAsPct_Tbl[[#This Row],[Native American or Alaska Native Male]]=0),"No Goal",ROUND(Tot_AIorAN_Male*GoalAsPct_Tbl[[#This Row],[Native American or Alaska Native Male]],0))</f>
        <v>No Goal</v>
      </c>
      <c r="S8" s="35" t="str">
        <f>IF(OR(Tot_AIorAN_Female=0,GoalAsPct_Tbl[[#This Row],[Native American or Alaska Native Female]]=0),"No Goal",ROUND(Tot_AIorAN_Female*GoalAsPct_Tbl[[#This Row],[Native American or Alaska Native Female]],0))</f>
        <v>No Goal</v>
      </c>
      <c r="T8" s="33" t="str" cm="1">
        <f t="array" ref="T8">IF(Tot_WN_Latinx*GoalAsPct_Tbl[[#This Row],[White Non-Latinx]]&lt;1,"No Goal",ROUND(Tot_WN_Latinx*GoalAsPct_Tbl[[#This Row],[White Non-Latinx]],0))</f>
        <v>No Goal</v>
      </c>
      <c r="U8" s="142" t="str" cm="1">
        <f t="array" ref="U8">IF(OR(Tot_WN_Latinx_Male=0,GoalAsPct_Tbl[[#This Row],[White Non-Latinx Male]]=0),"No Goal",ROUND(Tot_WN_Latinx_Male*GoalAsPct_Tbl[[#This Row],[White Non-Latinx Male]],0))</f>
        <v>No Goal</v>
      </c>
      <c r="V8" s="142" t="str" cm="1">
        <f t="array" ref="V8">IF(OR(Tot_WN_Latinx_Female=0,GoalAsPct_Tbl[[#This Row],[White Non-Latinx Female]]=0),"No Goal",ROUND(Tot_WN_Latinx_Female*GoalAsPct_Tbl[[#This Row],[White Non-Latinx Female]],0))</f>
        <v>No Goal</v>
      </c>
      <c r="W8" s="177" t="str">
        <f>IF(OR(Tot_Disab=0,GoalAsPct_Tbl[[#This Row],[Learners with Disabilities]]=0),"No Goal",ROUND(Tot_Disab*GoalAsPct_Tbl[[#This Row],[Learners with Disabilities]],0))</f>
        <v>No Goal</v>
      </c>
      <c r="X8" s="177" t="str">
        <f>IF(OR(Tot_Disab_Male=0,GoalAsPct_Tbl[[#This Row],[Learners with Disabilities Male]]=0),"No Goal",ROUND(Tot_Disab_Male*GoalAsPct_Tbl[[#This Row],[Learners with Disabilities Male]],0))</f>
        <v>No Goal</v>
      </c>
      <c r="Y8" s="177" t="str">
        <f>IF(OR(Tot_Disab_Female=0,GoalAsPct_Tbl[[#This Row],[Learners with Disabilities Female]]=0),"No Goal",ROUND(Tot_Disab_Female*GoalAsPct_Tbl[[#This Row],[Learners with Disabilities Female]],0))</f>
        <v>No Goal</v>
      </c>
      <c r="Z8" s="142" t="str">
        <f>IF(OR(Tot_Econ_Disadv=0,GoalAsPct_Tbl[[#This Row],[Economically Disadvantaged]]=0),"No Goal",ROUND(Tot_Econ_Disadv*GoalAsPct_Tbl[[#This Row],[Economically Disadvantaged]],0))</f>
        <v>No Goal</v>
      </c>
      <c r="AA8" s="142" t="str">
        <f>IF(OR(Tot_Econ_Disadv_Male=0,GoalAsPct_Tbl[[#This Row],[Economically Disadvantaged Male]]=0),"No Goal",ROUND(Tot_Econ_Disadv_Male*GoalAsPct_Tbl[[#This Row],[Economically Disadvantaged Male]],0))</f>
        <v>No Goal</v>
      </c>
      <c r="AB8" s="142" t="str">
        <f>IF(OR(Tot_Econ_Disadv_Female=0,GoalAsPct_Tbl[[#This Row],[Economically Disadvantaged Female]]=0),"No Goal",ROUND(Tot_Econ_Disadv_Female*GoalAsPct_Tbl[[#This Row],[Economically Disadvantaged Female]],0))</f>
        <v>No Goal</v>
      </c>
      <c r="AC8" s="177" t="str">
        <f>IF(OR(Tot_Eng_Lang=0,GoalAsPct_Tbl[[#This Row],[English Learner]]=0),"No Goal",ROUND(Tot_Eng_Lang*GoalAsPct_Tbl[[#This Row],[English Learner]],0))</f>
        <v>No Goal</v>
      </c>
      <c r="AD8" s="177" t="str">
        <f>IF(OR(Tot_Eng_Lang_Male=0,GoalAsPct_Tbl[[#This Row],[English Learner Male]]=0),"No Goal",ROUND(Tot_Eng_Lang_Male*GoalAsPct_Tbl[[#This Row],[English Learner Male]],0))</f>
        <v>No Goal</v>
      </c>
      <c r="AE8" s="35" t="str">
        <f>IF(Tot_Eng_Lang_Female*GoalAsPct_Tbl[[#This Row],[English Learner Female]]&lt;1,"No Goal",ROUND(Tot_Eng_Lang_Female*GoalAsPct_Tbl[[#This Row],[English Learner Female]],0))</f>
        <v>No Goal</v>
      </c>
      <c r="AF8" s="33" t="str">
        <f>IF(Tot_Migrant*GoalAsPct_Tbl[[#This Row],[Migrant]]&lt;1,"No Goal",ROUND(Tot_Migrant*GoalAsPct_Tbl[[#This Row],[Migrant]],0))</f>
        <v>No Goal</v>
      </c>
      <c r="AG8" s="142" t="str">
        <f>IF(OR(Tot_Migrant_Male=0,GoalAsPct_Tbl[[#This Row],[Migrant Male]]=0),"No Goal",ROUND(Tot_Migrant_Male*GoalAsPct_Tbl[[#This Row],[Migrant Male]],0))</f>
        <v>No Goal</v>
      </c>
      <c r="AH8" s="142" t="str">
        <f>IF(OR(Tot_Migrant_Female=0,GoalAsPct_Tbl[[#This Row],[Migrant Female]]=0),"No Goal",ROUND(Tot_Migrant_Female*GoalAsPct_Tbl[[#This Row],[Migrant Female]],0))</f>
        <v>No Goal</v>
      </c>
      <c r="AI8" s="27"/>
      <c r="AJ8" s="27"/>
      <c r="AK8" s="27"/>
      <c r="AL8" s="27"/>
      <c r="AM8" s="27"/>
      <c r="AN8" s="27"/>
      <c r="AO8" s="27"/>
      <c r="AP8" s="27"/>
      <c r="AQ8" s="27"/>
      <c r="AR8" s="27"/>
      <c r="AS8" s="27"/>
      <c r="AT8" s="27"/>
    </row>
    <row r="9" spans="1:50" ht="17" customHeight="1" x14ac:dyDescent="0.2">
      <c r="A9" s="48" t="str">
        <f>Count_Tbl[[#This Row],[Column1]]</f>
        <v>Advanced Coursework Completion</v>
      </c>
      <c r="B9" s="176" t="str">
        <f>IF(OR(Tot_Student_Pop=0,GoalAsPct_Tbl[[#This Row],[Total Population for Each Indicator]]=0),"No Goal",ROUND(Tot_Student_Pop*GoalAsPct_Tbl[[#This Row],[Total Population for Each Indicator]],0))</f>
        <v>No Goal</v>
      </c>
      <c r="C9" s="33" t="str">
        <f>IF(OR(Tot_Male=0,GoalAsPct_Tbl[[#This Row],[Male]]=0),"No Goal",ROUND(Tot_Male*GoalAsPct_Tbl[[#This Row],[Male]],0))</f>
        <v>No Goal</v>
      </c>
      <c r="D9" s="33" t="str">
        <f>IF(OR(Tot_Female=0,GoalAsPct_Tbl[[#This Row],[Female]]=0),"No Goal",ROUND(Tot_Female*GoalAsPct_Tbl[[#This Row],[Female]],0))</f>
        <v>No Goal</v>
      </c>
      <c r="E9" s="35" t="str">
        <f>IF(OR(Tot_API=0,GoalAsPct_Tbl[[#This Row],[Asian or Pacific Islander]]=0),"No Goal",ROUND(Tot_API*GoalAsPct_Tbl[[#This Row],[Asian or Pacific Islander]],0))</f>
        <v>No Goal</v>
      </c>
      <c r="F9" s="35" t="str">
        <f>IF(OR(Tot_API_Male=0,GoalAsPct_Tbl[[#This Row],[Asian or Pacific Islander Male]]=0),"No Goal",ROUND(Tot_API_Male*GoalAsPct_Tbl[[#This Row],[Asian or Pacific Islander Male]],0))</f>
        <v>No Goal</v>
      </c>
      <c r="G9" s="35" t="str">
        <f>IF(OR(Tot_API_Female=0,GoalAsPct_Tbl[[#This Row],[Asian or Pacific Islander Female]]=0),"No Goal",ROUND(Tot_API_Female*GoalAsPct_Tbl[[#This Row],[Asian or Pacific Islander Female]],0))</f>
        <v>No Goal</v>
      </c>
      <c r="H9" s="33" t="str">
        <f>IF(OR(Tot_BNL=0,GoalAsPct_Tbl[[#This Row],[Black Non-Latinx]]=0),"No Goal",ROUND(Tot_BNL*GoalAsPct_Tbl[[#This Row],[Black Non-Latinx]],0))</f>
        <v>No Goal</v>
      </c>
      <c r="I9" s="33" t="str">
        <f>IF(OR(Tot_BNL_Male=0,GoalAsPct_Tbl[[#This Row],[Black Non-Latinx Male]]=0),"No Goal",ROUND(Tot_BNL_Male*GoalAsPct_Tbl[[#This Row],[Black Non-Latinx Male]],0))</f>
        <v>No Goal</v>
      </c>
      <c r="J9" s="33" t="str">
        <f>IF(OR(Tot_BNL_Female=0,GoalAsPct_Tbl[[#This Row],[Black Non-Latinx Female]]=0),"No Goal",ROUND(Tot_BNL_Female*GoalAsPct_Tbl[[#This Row],[Black Non-Latinx Female]],0))</f>
        <v>No Goal</v>
      </c>
      <c r="K9" s="35" t="str" cm="1">
        <f t="array" ref="K9">IF(OR(Tot_Latinx=0,GoalAsPct_Tbl[[#This Row],[Latinx]]=0),"No Goal",ROUND(Tot_Latinx*GoalAsPct_Tbl[[#This Row],[Latinx]],0))</f>
        <v>No Goal</v>
      </c>
      <c r="L9" s="35" t="str" cm="1">
        <f t="array" ref="L9">IF(OR(Tot_Latinx_Male=0,GoalAsPct_Tbl[[#This Row],[Latinx Male]]=0),"No Goal",ROUND(Tot_Latinx_Male*GoalAsPct_Tbl[[#This Row],[Latinx Male]],0))</f>
        <v>No Goal</v>
      </c>
      <c r="M9" s="35" t="str" cm="1">
        <f t="array" ref="M9">IF(OR(Tot_Latinx_Female=0,GoalAsPct_Tbl[[#This Row],[Latinx Female]]=0),"No Goal",ROUND(Tot_Latinx_Female*GoalAsPct_Tbl[[#This Row],[Latinx Female]],0))</f>
        <v>No Goal</v>
      </c>
      <c r="N9" s="33" t="str">
        <f>IF(OR(Tot_Multiracial=0,GoalAsPct_Tbl[[#This Row],[Multiracial]]=0),"No Goal",ROUND(Tot_Multiracial*GoalAsPct_Tbl[[#This Row],[Multiracial]],0))</f>
        <v>No Goal</v>
      </c>
      <c r="O9" s="33" t="str">
        <f>IF(OR(Tot_Multiracial_Male=0,GoalAsPct_Tbl[[#This Row],[Multiracial Male]]=0),"No Goal",ROUND(Tot_Multiracial_Male*GoalAsPct_Tbl[[#This Row],[Multiracial Male]],0))</f>
        <v>No Goal</v>
      </c>
      <c r="P9" s="33" t="str">
        <f>IF(OR(Tot_Multiracial_Female=0,GoalAsPct_Tbl[[#This Row],[Multiracial Female]]=0),"No Goal",ROUND(Tot_Multiracial_Female*GoalAsPct_Tbl[[#This Row],[Multiracial Female]],0))</f>
        <v>No Goal</v>
      </c>
      <c r="Q9" s="35" t="str">
        <f>IF(OR(Tot_AIorAN=0,GoalAsPct_Tbl[[#This Row],[Native American or Alaska Native]]=0),"No Goal",ROUND(Tot_AIorAN*GoalAsPct_Tbl[[#This Row],[Native American or Alaska Native]],0))</f>
        <v>No Goal</v>
      </c>
      <c r="R9" s="35" t="str">
        <f>IF(OR(Tot_AIorAN_Male=0,GoalAsPct_Tbl[[#This Row],[Native American or Alaska Native Male]]=0),"No Goal",ROUND(Tot_AIorAN_Male*GoalAsPct_Tbl[[#This Row],[Native American or Alaska Native Male]],0))</f>
        <v>No Goal</v>
      </c>
      <c r="S9" s="35" t="str">
        <f>IF(OR(Tot_AIorAN_Female=0,GoalAsPct_Tbl[[#This Row],[Native American or Alaska Native Female]]=0),"No Goal",ROUND(Tot_AIorAN_Female*GoalAsPct_Tbl[[#This Row],[Native American or Alaska Native Female]],0))</f>
        <v>No Goal</v>
      </c>
      <c r="T9" s="33" t="str" cm="1">
        <f t="array" ref="T9">IF(Tot_WN_Latinx*GoalAsPct_Tbl[[#This Row],[White Non-Latinx]]&lt;1,"No Goal",ROUND(Tot_WN_Latinx*GoalAsPct_Tbl[[#This Row],[White Non-Latinx]],0))</f>
        <v>No Goal</v>
      </c>
      <c r="U9" s="142" t="str" cm="1">
        <f t="array" ref="U9">IF(OR(Tot_WN_Latinx_Male=0,GoalAsPct_Tbl[[#This Row],[White Non-Latinx Male]]=0),"No Goal",ROUND(Tot_WN_Latinx_Male*GoalAsPct_Tbl[[#This Row],[White Non-Latinx Male]],0))</f>
        <v>No Goal</v>
      </c>
      <c r="V9" s="142" t="str" cm="1">
        <f t="array" ref="V9">IF(OR(Tot_WN_Latinx_Female=0,GoalAsPct_Tbl[[#This Row],[White Non-Latinx Female]]=0),"No Goal",ROUND(Tot_WN_Latinx_Female*GoalAsPct_Tbl[[#This Row],[White Non-Latinx Female]],0))</f>
        <v>No Goal</v>
      </c>
      <c r="W9" s="177" t="str">
        <f>IF(OR(Tot_Disab=0,GoalAsPct_Tbl[[#This Row],[Learners with Disabilities]]=0),"No Goal",ROUND(Tot_Disab*GoalAsPct_Tbl[[#This Row],[Learners with Disabilities]],0))</f>
        <v>No Goal</v>
      </c>
      <c r="X9" s="177" t="str">
        <f>IF(OR(Tot_Disab_Male=0,GoalAsPct_Tbl[[#This Row],[Learners with Disabilities Male]]=0),"No Goal",ROUND(Tot_Disab_Male*GoalAsPct_Tbl[[#This Row],[Learners with Disabilities Male]],0))</f>
        <v>No Goal</v>
      </c>
      <c r="Y9" s="177" t="str">
        <f>IF(OR(Tot_Disab_Female=0,GoalAsPct_Tbl[[#This Row],[Learners with Disabilities Female]]=0),"No Goal",ROUND(Tot_Disab_Female*GoalAsPct_Tbl[[#This Row],[Learners with Disabilities Female]],0))</f>
        <v>No Goal</v>
      </c>
      <c r="Z9" s="142" t="str">
        <f>IF(OR(Tot_Econ_Disadv=0,GoalAsPct_Tbl[[#This Row],[Economically Disadvantaged]]=0),"No Goal",ROUND(Tot_Econ_Disadv*GoalAsPct_Tbl[[#This Row],[Economically Disadvantaged]],0))</f>
        <v>No Goal</v>
      </c>
      <c r="AA9" s="142" t="str">
        <f>IF(OR(Tot_Econ_Disadv_Male=0,GoalAsPct_Tbl[[#This Row],[Economically Disadvantaged Male]]=0),"No Goal",ROUND(Tot_Econ_Disadv_Male*GoalAsPct_Tbl[[#This Row],[Economically Disadvantaged Male]],0))</f>
        <v>No Goal</v>
      </c>
      <c r="AB9" s="142" t="str">
        <f>IF(OR(Tot_Econ_Disadv_Female=0,GoalAsPct_Tbl[[#This Row],[Economically Disadvantaged Female]]=0),"No Goal",ROUND(Tot_Econ_Disadv_Female*GoalAsPct_Tbl[[#This Row],[Economically Disadvantaged Female]],0))</f>
        <v>No Goal</v>
      </c>
      <c r="AC9" s="177" t="str">
        <f>IF(OR(Tot_Eng_Lang=0,GoalAsPct_Tbl[[#This Row],[English Learner]]=0),"No Goal",ROUND(Tot_Eng_Lang*GoalAsPct_Tbl[[#This Row],[English Learner]],0))</f>
        <v>No Goal</v>
      </c>
      <c r="AD9" s="177" t="str">
        <f>IF(OR(Tot_Eng_Lang_Male=0,GoalAsPct_Tbl[[#This Row],[English Learner Male]]=0),"No Goal",ROUND(Tot_Eng_Lang_Male*GoalAsPct_Tbl[[#This Row],[English Learner Male]],0))</f>
        <v>No Goal</v>
      </c>
      <c r="AE9" s="35" t="str">
        <f>IF(Tot_Eng_Lang_Female*GoalAsPct_Tbl[[#This Row],[English Learner Female]]&lt;1,"No Goal",ROUND(Tot_Eng_Lang_Female*GoalAsPct_Tbl[[#This Row],[English Learner Female]],0))</f>
        <v>No Goal</v>
      </c>
      <c r="AF9" s="33" t="str">
        <f>IF(Tot_Migrant*GoalAsPct_Tbl[[#This Row],[Migrant]]&lt;1,"No Goal",ROUND(Tot_Migrant*GoalAsPct_Tbl[[#This Row],[Migrant]],0))</f>
        <v>No Goal</v>
      </c>
      <c r="AG9" s="142" t="str">
        <f>IF(OR(Tot_Migrant_Male=0,GoalAsPct_Tbl[[#This Row],[Migrant Male]]=0),"No Goal",ROUND(Tot_Migrant_Male*GoalAsPct_Tbl[[#This Row],[Migrant Male]],0))</f>
        <v>No Goal</v>
      </c>
      <c r="AH9" s="142" t="str">
        <f>IF(OR(Tot_Migrant_Female=0,GoalAsPct_Tbl[[#This Row],[Migrant Female]]=0),"No Goal",ROUND(Tot_Migrant_Female*GoalAsPct_Tbl[[#This Row],[Migrant Female]],0))</f>
        <v>No Goal</v>
      </c>
      <c r="AI9" s="27"/>
      <c r="AJ9" s="27"/>
      <c r="AK9" s="27"/>
      <c r="AL9" s="27"/>
      <c r="AM9" s="27"/>
      <c r="AN9" s="27"/>
      <c r="AO9" s="27"/>
      <c r="AP9" s="27"/>
      <c r="AQ9" s="27"/>
      <c r="AR9" s="27"/>
      <c r="AS9" s="27"/>
      <c r="AT9" s="27"/>
    </row>
    <row r="10" spans="1:50" ht="17" customHeight="1" x14ac:dyDescent="0.2">
      <c r="A10" s="48" t="str">
        <f>Count_Tbl[[#This Row],[Column1]]</f>
        <v>Credential Completion</v>
      </c>
      <c r="B10" s="176" t="str">
        <f>IF(OR(Tot_Student_Pop=0,GoalAsPct_Tbl[[#This Row],[Total Population for Each Indicator]]=0),"No Goal",ROUND(Tot_Student_Pop*GoalAsPct_Tbl[[#This Row],[Total Population for Each Indicator]],0))</f>
        <v>No Goal</v>
      </c>
      <c r="C10" s="33" t="str">
        <f>IF(OR(Tot_Male=0,GoalAsPct_Tbl[[#This Row],[Male]]=0),"No Goal",ROUND(Tot_Male*GoalAsPct_Tbl[[#This Row],[Male]],0))</f>
        <v>No Goal</v>
      </c>
      <c r="D10" s="33" t="str">
        <f>IF(OR(Tot_Female=0,GoalAsPct_Tbl[[#This Row],[Female]]=0),"No Goal",ROUND(Tot_Female*GoalAsPct_Tbl[[#This Row],[Female]],0))</f>
        <v>No Goal</v>
      </c>
      <c r="E10" s="35" t="str">
        <f>IF(OR(Tot_API=0,GoalAsPct_Tbl[[#This Row],[Asian or Pacific Islander]]=0),"No Goal",ROUND(Tot_API*GoalAsPct_Tbl[[#This Row],[Asian or Pacific Islander]],0))</f>
        <v>No Goal</v>
      </c>
      <c r="F10" s="35" t="str">
        <f>IF(OR(Tot_API_Male=0,GoalAsPct_Tbl[[#This Row],[Asian or Pacific Islander Male]]=0),"No Goal",ROUND(Tot_API_Male*GoalAsPct_Tbl[[#This Row],[Asian or Pacific Islander Male]],0))</f>
        <v>No Goal</v>
      </c>
      <c r="G10" s="35" t="str">
        <f>IF(OR(Tot_API_Female=0,GoalAsPct_Tbl[[#This Row],[Asian or Pacific Islander Female]]=0),"No Goal",ROUND(Tot_API_Female*GoalAsPct_Tbl[[#This Row],[Asian or Pacific Islander Female]],0))</f>
        <v>No Goal</v>
      </c>
      <c r="H10" s="33" t="str">
        <f>IF(OR(Tot_BNL=0,GoalAsPct_Tbl[[#This Row],[Black Non-Latinx]]=0),"No Goal",ROUND(Tot_BNL*GoalAsPct_Tbl[[#This Row],[Black Non-Latinx]],0))</f>
        <v>No Goal</v>
      </c>
      <c r="I10" s="33" t="str">
        <f>IF(OR(Tot_BNL_Male=0,GoalAsPct_Tbl[[#This Row],[Black Non-Latinx Male]]=0),"No Goal",ROUND(Tot_BNL_Male*GoalAsPct_Tbl[[#This Row],[Black Non-Latinx Male]],0))</f>
        <v>No Goal</v>
      </c>
      <c r="J10" s="33" t="str">
        <f>IF(OR(Tot_BNL_Female=0,GoalAsPct_Tbl[[#This Row],[Black Non-Latinx Female]]=0),"No Goal",ROUND(Tot_BNL_Female*GoalAsPct_Tbl[[#This Row],[Black Non-Latinx Female]],0))</f>
        <v>No Goal</v>
      </c>
      <c r="K10" s="35" t="str" cm="1">
        <f t="array" ref="K10">IF(OR(Tot_Latinx=0,GoalAsPct_Tbl[[#This Row],[Latinx]]=0),"No Goal",ROUND(Tot_Latinx*GoalAsPct_Tbl[[#This Row],[Latinx]],0))</f>
        <v>No Goal</v>
      </c>
      <c r="L10" s="35" t="str" cm="1">
        <f t="array" ref="L10">IF(OR(Tot_Latinx_Male=0,GoalAsPct_Tbl[[#This Row],[Latinx Male]]=0),"No Goal",ROUND(Tot_Latinx_Male*GoalAsPct_Tbl[[#This Row],[Latinx Male]],0))</f>
        <v>No Goal</v>
      </c>
      <c r="M10" s="35" t="str" cm="1">
        <f t="array" ref="M10">IF(OR(Tot_Latinx_Female=0,GoalAsPct_Tbl[[#This Row],[Latinx Female]]=0),"No Goal",ROUND(Tot_Latinx_Female*GoalAsPct_Tbl[[#This Row],[Latinx Female]],0))</f>
        <v>No Goal</v>
      </c>
      <c r="N10" s="33" t="str">
        <f>IF(OR(Tot_Multiracial=0,GoalAsPct_Tbl[[#This Row],[Multiracial]]=0),"No Goal",ROUND(Tot_Multiracial*GoalAsPct_Tbl[[#This Row],[Multiracial]],0))</f>
        <v>No Goal</v>
      </c>
      <c r="O10" s="33" t="str">
        <f>IF(OR(Tot_Multiracial_Male=0,GoalAsPct_Tbl[[#This Row],[Multiracial Male]]=0),"No Goal",ROUND(Tot_Multiracial_Male*GoalAsPct_Tbl[[#This Row],[Multiracial Male]],0))</f>
        <v>No Goal</v>
      </c>
      <c r="P10" s="33" t="str">
        <f>IF(OR(Tot_Multiracial_Female=0,GoalAsPct_Tbl[[#This Row],[Multiracial Female]]=0),"No Goal",ROUND(Tot_Multiracial_Female*GoalAsPct_Tbl[[#This Row],[Multiracial Female]],0))</f>
        <v>No Goal</v>
      </c>
      <c r="Q10" s="35" t="str">
        <f>IF(OR(Tot_AIorAN=0,GoalAsPct_Tbl[[#This Row],[Native American or Alaska Native]]=0),"No Goal",ROUND(Tot_AIorAN*GoalAsPct_Tbl[[#This Row],[Native American or Alaska Native]],0))</f>
        <v>No Goal</v>
      </c>
      <c r="R10" s="35" t="str">
        <f>IF(OR(Tot_AIorAN_Male=0,GoalAsPct_Tbl[[#This Row],[Native American or Alaska Native Male]]=0),"No Goal",ROUND(Tot_AIorAN_Male*GoalAsPct_Tbl[[#This Row],[Native American or Alaska Native Male]],0))</f>
        <v>No Goal</v>
      </c>
      <c r="S10" s="35" t="str">
        <f>IF(OR(Tot_AIorAN_Female=0,GoalAsPct_Tbl[[#This Row],[Native American or Alaska Native Female]]=0),"No Goal",ROUND(Tot_AIorAN_Female*GoalAsPct_Tbl[[#This Row],[Native American or Alaska Native Female]],0))</f>
        <v>No Goal</v>
      </c>
      <c r="T10" s="33" t="str" cm="1">
        <f t="array" ref="T10">IF(Tot_WN_Latinx*GoalAsPct_Tbl[[#This Row],[White Non-Latinx]]&lt;1,"No Goal",ROUND(Tot_WN_Latinx*GoalAsPct_Tbl[[#This Row],[White Non-Latinx]],0))</f>
        <v>No Goal</v>
      </c>
      <c r="U10" s="142" t="str" cm="1">
        <f t="array" ref="U10">IF(OR(Tot_WN_Latinx_Male=0,GoalAsPct_Tbl[[#This Row],[White Non-Latinx Male]]=0),"No Goal",ROUND(Tot_WN_Latinx_Male*GoalAsPct_Tbl[[#This Row],[White Non-Latinx Male]],0))</f>
        <v>No Goal</v>
      </c>
      <c r="V10" s="142" t="str" cm="1">
        <f t="array" ref="V10">IF(OR(Tot_WN_Latinx_Female=0,GoalAsPct_Tbl[[#This Row],[White Non-Latinx Female]]=0),"No Goal",ROUND(Tot_WN_Latinx_Female*GoalAsPct_Tbl[[#This Row],[White Non-Latinx Female]],0))</f>
        <v>No Goal</v>
      </c>
      <c r="W10" s="177" t="str">
        <f>IF(OR(Tot_Disab=0,GoalAsPct_Tbl[[#This Row],[Learners with Disabilities]]=0),"No Goal",ROUND(Tot_Disab*GoalAsPct_Tbl[[#This Row],[Learners with Disabilities]],0))</f>
        <v>No Goal</v>
      </c>
      <c r="X10" s="177" t="str">
        <f>IF(OR(Tot_Disab_Male=0,GoalAsPct_Tbl[[#This Row],[Learners with Disabilities Male]]=0),"No Goal",ROUND(Tot_Disab_Male*GoalAsPct_Tbl[[#This Row],[Learners with Disabilities Male]],0))</f>
        <v>No Goal</v>
      </c>
      <c r="Y10" s="177" t="str">
        <f>IF(OR(Tot_Disab_Female=0,GoalAsPct_Tbl[[#This Row],[Learners with Disabilities Female]]=0),"No Goal",ROUND(Tot_Disab_Female*GoalAsPct_Tbl[[#This Row],[Learners with Disabilities Female]],0))</f>
        <v>No Goal</v>
      </c>
      <c r="Z10" s="142" t="str">
        <f>IF(OR(Tot_Econ_Disadv=0,GoalAsPct_Tbl[[#This Row],[Economically Disadvantaged]]=0),"No Goal",ROUND(Tot_Econ_Disadv*GoalAsPct_Tbl[[#This Row],[Economically Disadvantaged]],0))</f>
        <v>No Goal</v>
      </c>
      <c r="AA10" s="142" t="str">
        <f>IF(OR(Tot_Econ_Disadv_Male=0,GoalAsPct_Tbl[[#This Row],[Economically Disadvantaged Male]]=0),"No Goal",ROUND(Tot_Econ_Disadv_Male*GoalAsPct_Tbl[[#This Row],[Economically Disadvantaged Male]],0))</f>
        <v>No Goal</v>
      </c>
      <c r="AB10" s="142" t="str">
        <f>IF(OR(Tot_Econ_Disadv_Female=0,GoalAsPct_Tbl[[#This Row],[Economically Disadvantaged Female]]=0),"No Goal",ROUND(Tot_Econ_Disadv_Female*GoalAsPct_Tbl[[#This Row],[Economically Disadvantaged Female]],0))</f>
        <v>No Goal</v>
      </c>
      <c r="AC10" s="177" t="str">
        <f>IF(OR(Tot_Eng_Lang=0,GoalAsPct_Tbl[[#This Row],[English Learner]]=0),"No Goal",ROUND(Tot_Eng_Lang*GoalAsPct_Tbl[[#This Row],[English Learner]],0))</f>
        <v>No Goal</v>
      </c>
      <c r="AD10" s="177" t="str">
        <f>IF(OR(Tot_Eng_Lang_Male=0,GoalAsPct_Tbl[[#This Row],[English Learner Male]]=0),"No Goal",ROUND(Tot_Eng_Lang_Male*GoalAsPct_Tbl[[#This Row],[English Learner Male]],0))</f>
        <v>No Goal</v>
      </c>
      <c r="AE10" s="35" t="str">
        <f>IF(Tot_Eng_Lang_Female*GoalAsPct_Tbl[[#This Row],[English Learner Female]]&lt;1,"No Goal",ROUND(Tot_Eng_Lang_Female*GoalAsPct_Tbl[[#This Row],[English Learner Female]],0))</f>
        <v>No Goal</v>
      </c>
      <c r="AF10" s="33" t="str">
        <f>IF(Tot_Migrant*GoalAsPct_Tbl[[#This Row],[Migrant]]&lt;1,"No Goal",ROUND(Tot_Migrant*GoalAsPct_Tbl[[#This Row],[Migrant]],0))</f>
        <v>No Goal</v>
      </c>
      <c r="AG10" s="142" t="str">
        <f>IF(OR(Tot_Migrant_Male=0,GoalAsPct_Tbl[[#This Row],[Migrant Male]]=0),"No Goal",ROUND(Tot_Migrant_Male*GoalAsPct_Tbl[[#This Row],[Migrant Male]],0))</f>
        <v>No Goal</v>
      </c>
      <c r="AH10" s="142" t="str">
        <f>IF(OR(Tot_Migrant_Female=0,GoalAsPct_Tbl[[#This Row],[Migrant Female]]=0),"No Goal",ROUND(Tot_Migrant_Female*GoalAsPct_Tbl[[#This Row],[Migrant Female]],0))</f>
        <v>No Goal</v>
      </c>
      <c r="AI10" s="27"/>
      <c r="AJ10" s="27"/>
      <c r="AK10" s="27"/>
      <c r="AL10" s="27"/>
      <c r="AM10" s="27"/>
      <c r="AN10" s="27"/>
      <c r="AO10" s="27"/>
      <c r="AP10" s="27"/>
      <c r="AQ10" s="27"/>
      <c r="AR10" s="27"/>
      <c r="AS10" s="27"/>
      <c r="AT10" s="27"/>
    </row>
    <row r="11" spans="1:50" ht="17" customHeight="1" x14ac:dyDescent="0.2">
      <c r="A11" s="48" t="str">
        <f>Count_Tbl[[#This Row],[Column1]]</f>
        <v>Placement</v>
      </c>
      <c r="B11" s="176" t="str">
        <f>IF(OR(Tot_Student_Pop=0,GoalAsPct_Tbl[[#This Row],[Total Population for Each Indicator]]=0),"No Goal",ROUND(Tot_Student_Pop*GoalAsPct_Tbl[[#This Row],[Total Population for Each Indicator]],0))</f>
        <v>No Goal</v>
      </c>
      <c r="C11" s="33" t="str">
        <f>IF(OR(Tot_Male=0,GoalAsPct_Tbl[[#This Row],[Male]]=0),"No Goal",ROUND(Tot_Male*GoalAsPct_Tbl[[#This Row],[Male]],0))</f>
        <v>No Goal</v>
      </c>
      <c r="D11" s="33" t="str">
        <f>IF(OR(Tot_Female=0,GoalAsPct_Tbl[[#This Row],[Female]]=0),"No Goal",ROUND(Tot_Female*GoalAsPct_Tbl[[#This Row],[Female]],0))</f>
        <v>No Goal</v>
      </c>
      <c r="E11" s="35" t="str">
        <f>IF(OR(Tot_API=0,GoalAsPct_Tbl[[#This Row],[Asian or Pacific Islander]]=0),"No Goal",ROUND(Tot_API*GoalAsPct_Tbl[[#This Row],[Asian or Pacific Islander]],0))</f>
        <v>No Goal</v>
      </c>
      <c r="F11" s="35" t="str">
        <f>IF(OR(Tot_API_Male=0,GoalAsPct_Tbl[[#This Row],[Asian or Pacific Islander Male]]=0),"No Goal",ROUND(Tot_API_Male*GoalAsPct_Tbl[[#This Row],[Asian or Pacific Islander Male]],0))</f>
        <v>No Goal</v>
      </c>
      <c r="G11" s="35" t="str">
        <f>IF(OR(Tot_API_Female=0,GoalAsPct_Tbl[[#This Row],[Asian or Pacific Islander Female]]=0),"No Goal",ROUND(Tot_API_Female*GoalAsPct_Tbl[[#This Row],[Asian or Pacific Islander Female]],0))</f>
        <v>No Goal</v>
      </c>
      <c r="H11" s="33" t="str">
        <f>IF(OR(Tot_BNL=0,GoalAsPct_Tbl[[#This Row],[Black Non-Latinx]]=0),"No Goal",ROUND(Tot_BNL*GoalAsPct_Tbl[[#This Row],[Black Non-Latinx]],0))</f>
        <v>No Goal</v>
      </c>
      <c r="I11" s="33" t="str">
        <f>IF(OR(Tot_BNL_Male=0,GoalAsPct_Tbl[[#This Row],[Black Non-Latinx Male]]=0),"No Goal",ROUND(Tot_BNL_Male*GoalAsPct_Tbl[[#This Row],[Black Non-Latinx Male]],0))</f>
        <v>No Goal</v>
      </c>
      <c r="J11" s="33" t="str">
        <f>IF(OR(Tot_BNL_Female=0,GoalAsPct_Tbl[[#This Row],[Black Non-Latinx Female]]=0),"No Goal",ROUND(Tot_BNL_Female*GoalAsPct_Tbl[[#This Row],[Black Non-Latinx Female]],0))</f>
        <v>No Goal</v>
      </c>
      <c r="K11" s="35" t="str" cm="1">
        <f t="array" ref="K11">IF(OR(Tot_Latinx=0,GoalAsPct_Tbl[[#This Row],[Latinx]]=0),"No Goal",ROUND(Tot_Latinx*GoalAsPct_Tbl[[#This Row],[Latinx]],0))</f>
        <v>No Goal</v>
      </c>
      <c r="L11" s="35" t="str" cm="1">
        <f t="array" ref="L11">IF(OR(Tot_Latinx_Male=0,GoalAsPct_Tbl[[#This Row],[Latinx Male]]=0),"No Goal",ROUND(Tot_Latinx_Male*GoalAsPct_Tbl[[#This Row],[Latinx Male]],0))</f>
        <v>No Goal</v>
      </c>
      <c r="M11" s="35" t="str" cm="1">
        <f t="array" ref="M11">IF(OR(Tot_Latinx_Female=0,GoalAsPct_Tbl[[#This Row],[Latinx Female]]=0),"No Goal",ROUND(Tot_Latinx_Female*GoalAsPct_Tbl[[#This Row],[Latinx Female]],0))</f>
        <v>No Goal</v>
      </c>
      <c r="N11" s="33" t="str">
        <f>IF(OR(Tot_Multiracial=0,GoalAsPct_Tbl[[#This Row],[Multiracial]]=0),"No Goal",ROUND(Tot_Multiracial*GoalAsPct_Tbl[[#This Row],[Multiracial]],0))</f>
        <v>No Goal</v>
      </c>
      <c r="O11" s="33" t="str">
        <f>IF(OR(Tot_Multiracial_Male=0,GoalAsPct_Tbl[[#This Row],[Multiracial Male]]=0),"No Goal",ROUND(Tot_Multiracial_Male*GoalAsPct_Tbl[[#This Row],[Multiracial Male]],0))</f>
        <v>No Goal</v>
      </c>
      <c r="P11" s="33" t="str">
        <f>IF(OR(Tot_Multiracial_Female=0,GoalAsPct_Tbl[[#This Row],[Multiracial Female]]=0),"No Goal",ROUND(Tot_Multiracial_Female*GoalAsPct_Tbl[[#This Row],[Multiracial Female]],0))</f>
        <v>No Goal</v>
      </c>
      <c r="Q11" s="35" t="str">
        <f>IF(OR(Tot_AIorAN=0,GoalAsPct_Tbl[[#This Row],[Native American or Alaska Native]]=0),"No Goal",ROUND(Tot_AIorAN*GoalAsPct_Tbl[[#This Row],[Native American or Alaska Native]],0))</f>
        <v>No Goal</v>
      </c>
      <c r="R11" s="35" t="str">
        <f>IF(OR(Tot_AIorAN_Male=0,GoalAsPct_Tbl[[#This Row],[Native American or Alaska Native Male]]=0),"No Goal",ROUND(Tot_AIorAN_Male*GoalAsPct_Tbl[[#This Row],[Native American or Alaska Native Male]],0))</f>
        <v>No Goal</v>
      </c>
      <c r="S11" s="35" t="str">
        <f>IF(OR(Tot_AIorAN_Female=0,GoalAsPct_Tbl[[#This Row],[Native American or Alaska Native Female]]=0),"No Goal",ROUND(Tot_AIorAN_Female*GoalAsPct_Tbl[[#This Row],[Native American or Alaska Native Female]],0))</f>
        <v>No Goal</v>
      </c>
      <c r="T11" s="33" t="str" cm="1">
        <f t="array" ref="T11">IF(Tot_WN_Latinx*GoalAsPct_Tbl[[#This Row],[White Non-Latinx]]&lt;1,"No Goal",ROUND(Tot_WN_Latinx*GoalAsPct_Tbl[[#This Row],[White Non-Latinx]],0))</f>
        <v>No Goal</v>
      </c>
      <c r="U11" s="142" t="str" cm="1">
        <f t="array" ref="U11">IF(OR(Tot_WN_Latinx_Male=0,GoalAsPct_Tbl[[#This Row],[White Non-Latinx Male]]=0),"No Goal",ROUND(Tot_WN_Latinx_Male*GoalAsPct_Tbl[[#This Row],[White Non-Latinx Male]],0))</f>
        <v>No Goal</v>
      </c>
      <c r="V11" s="142" t="str" cm="1">
        <f t="array" ref="V11">IF(OR(Tot_WN_Latinx_Female=0,GoalAsPct_Tbl[[#This Row],[White Non-Latinx Female]]=0),"No Goal",ROUND(Tot_WN_Latinx_Female*GoalAsPct_Tbl[[#This Row],[White Non-Latinx Female]],0))</f>
        <v>No Goal</v>
      </c>
      <c r="W11" s="177" t="str">
        <f>IF(OR(Tot_Disab=0,GoalAsPct_Tbl[[#This Row],[Learners with Disabilities]]=0),"No Goal",ROUND(Tot_Disab*GoalAsPct_Tbl[[#This Row],[Learners with Disabilities]],0))</f>
        <v>No Goal</v>
      </c>
      <c r="X11" s="177" t="str">
        <f>IF(OR(Tot_Disab_Male=0,GoalAsPct_Tbl[[#This Row],[Learners with Disabilities Male]]=0),"No Goal",ROUND(Tot_Disab_Male*GoalAsPct_Tbl[[#This Row],[Learners with Disabilities Male]],0))</f>
        <v>No Goal</v>
      </c>
      <c r="Y11" s="177" t="str">
        <f>IF(OR(Tot_Disab_Female=0,GoalAsPct_Tbl[[#This Row],[Learners with Disabilities Female]]=0),"No Goal",ROUND(Tot_Disab_Female*GoalAsPct_Tbl[[#This Row],[Learners with Disabilities Female]],0))</f>
        <v>No Goal</v>
      </c>
      <c r="Z11" s="142" t="str">
        <f>IF(OR(Tot_Econ_Disadv=0,GoalAsPct_Tbl[[#This Row],[Economically Disadvantaged]]=0),"No Goal",ROUND(Tot_Econ_Disadv*GoalAsPct_Tbl[[#This Row],[Economically Disadvantaged]],0))</f>
        <v>No Goal</v>
      </c>
      <c r="AA11" s="142" t="str">
        <f>IF(OR(Tot_Econ_Disadv_Male=0,GoalAsPct_Tbl[[#This Row],[Economically Disadvantaged Male]]=0),"No Goal",ROUND(Tot_Econ_Disadv_Male*GoalAsPct_Tbl[[#This Row],[Economically Disadvantaged Male]],0))</f>
        <v>No Goal</v>
      </c>
      <c r="AB11" s="142" t="str">
        <f>IF(OR(Tot_Econ_Disadv_Female=0,GoalAsPct_Tbl[[#This Row],[Economically Disadvantaged Female]]=0),"No Goal",ROUND(Tot_Econ_Disadv_Female*GoalAsPct_Tbl[[#This Row],[Economically Disadvantaged Female]],0))</f>
        <v>No Goal</v>
      </c>
      <c r="AC11" s="177" t="str">
        <f>IF(OR(Tot_Eng_Lang=0,GoalAsPct_Tbl[[#This Row],[English Learner]]=0),"No Goal",ROUND(Tot_Eng_Lang*GoalAsPct_Tbl[[#This Row],[English Learner]],0))</f>
        <v>No Goal</v>
      </c>
      <c r="AD11" s="177" t="str">
        <f>IF(OR(Tot_Eng_Lang_Male=0,GoalAsPct_Tbl[[#This Row],[English Learner Male]]=0),"No Goal",ROUND(Tot_Eng_Lang_Male*GoalAsPct_Tbl[[#This Row],[English Learner Male]],0))</f>
        <v>No Goal</v>
      </c>
      <c r="AE11" s="35" t="str">
        <f>IF(Tot_Eng_Lang_Female*GoalAsPct_Tbl[[#This Row],[English Learner Female]]&lt;1,"No Goal",ROUND(Tot_Eng_Lang_Female*GoalAsPct_Tbl[[#This Row],[English Learner Female]],0))</f>
        <v>No Goal</v>
      </c>
      <c r="AF11" s="33" t="str">
        <f>IF(Tot_Migrant*GoalAsPct_Tbl[[#This Row],[Migrant]]&lt;1,"No Goal",ROUND(Tot_Migrant*GoalAsPct_Tbl[[#This Row],[Migrant]],0))</f>
        <v>No Goal</v>
      </c>
      <c r="AG11" s="142" t="str">
        <f>IF(OR(Tot_Migrant_Male=0,GoalAsPct_Tbl[[#This Row],[Migrant Male]]=0),"No Goal",ROUND(Tot_Migrant_Male*GoalAsPct_Tbl[[#This Row],[Migrant Male]],0))</f>
        <v>No Goal</v>
      </c>
      <c r="AH11" s="142" t="str">
        <f>IF(OR(Tot_Migrant_Female=0,GoalAsPct_Tbl[[#This Row],[Migrant Female]]=0),"No Goal",ROUND(Tot_Migrant_Female*GoalAsPct_Tbl[[#This Row],[Migrant Female]],0))</f>
        <v>No Goal</v>
      </c>
      <c r="AI11" s="27"/>
      <c r="AJ11" s="27"/>
      <c r="AK11" s="27"/>
      <c r="AL11" s="27"/>
      <c r="AM11" s="27"/>
      <c r="AN11" s="27"/>
      <c r="AO11" s="27"/>
      <c r="AP11" s="27"/>
      <c r="AQ11" s="27"/>
      <c r="AR11" s="27"/>
      <c r="AS11" s="27"/>
      <c r="AT11" s="27"/>
    </row>
    <row r="12" spans="1:50" ht="17" customHeight="1" x14ac:dyDescent="0.2">
      <c r="A12" s="48" t="str">
        <f>Count_Tbl[[#This Row],[Column1]]</f>
        <v>HWHD Placement</v>
      </c>
      <c r="B12" s="176" t="str">
        <f>IF(OR(Tot_Student_Pop=0,GoalAsPct_Tbl[[#This Row],[Total Population for Each Indicator]]=0),"No Goal",ROUND(Tot_Student_Pop*GoalAsPct_Tbl[[#This Row],[Total Population for Each Indicator]],0))</f>
        <v>No Goal</v>
      </c>
      <c r="C12" s="33" t="str">
        <f>IF(OR(Tot_Male=0,GoalAsPct_Tbl[[#This Row],[Male]]=0),"No Goal",ROUND(Tot_Male*GoalAsPct_Tbl[[#This Row],[Male]],0))</f>
        <v>No Goal</v>
      </c>
      <c r="D12" s="33" t="str">
        <f>IF(OR(Tot_Female=0,GoalAsPct_Tbl[[#This Row],[Female]]=0),"No Goal",ROUND(Tot_Female*GoalAsPct_Tbl[[#This Row],[Female]],0))</f>
        <v>No Goal</v>
      </c>
      <c r="E12" s="35" t="str">
        <f>IF(OR(Tot_API=0,GoalAsPct_Tbl[[#This Row],[Asian or Pacific Islander]]=0),"No Goal",ROUND(Tot_API*GoalAsPct_Tbl[[#This Row],[Asian or Pacific Islander]],0))</f>
        <v>No Goal</v>
      </c>
      <c r="F12" s="35" t="str">
        <f>IF(OR(Tot_API_Male=0,GoalAsPct_Tbl[[#This Row],[Asian or Pacific Islander Male]]=0),"No Goal",ROUND(Tot_API_Male*GoalAsPct_Tbl[[#This Row],[Asian or Pacific Islander Male]],0))</f>
        <v>No Goal</v>
      </c>
      <c r="G12" s="35" t="str">
        <f>IF(OR(Tot_API_Female=0,GoalAsPct_Tbl[[#This Row],[Asian or Pacific Islander Female]]=0),"No Goal",ROUND(Tot_API_Female*GoalAsPct_Tbl[[#This Row],[Asian or Pacific Islander Female]],0))</f>
        <v>No Goal</v>
      </c>
      <c r="H12" s="33" t="str">
        <f>IF(OR(Tot_BNL=0,GoalAsPct_Tbl[[#This Row],[Black Non-Latinx]]=0),"No Goal",ROUND(Tot_BNL*GoalAsPct_Tbl[[#This Row],[Black Non-Latinx]],0))</f>
        <v>No Goal</v>
      </c>
      <c r="I12" s="33" t="str">
        <f>IF(OR(Tot_BNL_Male=0,GoalAsPct_Tbl[[#This Row],[Black Non-Latinx Male]]=0),"No Goal",ROUND(Tot_BNL_Male*GoalAsPct_Tbl[[#This Row],[Black Non-Latinx Male]],0))</f>
        <v>No Goal</v>
      </c>
      <c r="J12" s="33" t="str">
        <f>IF(OR(Tot_BNL_Female=0,GoalAsPct_Tbl[[#This Row],[Black Non-Latinx Female]]=0),"No Goal",ROUND(Tot_BNL_Female*GoalAsPct_Tbl[[#This Row],[Black Non-Latinx Female]],0))</f>
        <v>No Goal</v>
      </c>
      <c r="K12" s="35" t="str" cm="1">
        <f t="array" ref="K12">IF(OR(Tot_Latinx=0,GoalAsPct_Tbl[[#This Row],[Latinx]]=0),"No Goal",ROUND(Tot_Latinx*GoalAsPct_Tbl[[#This Row],[Latinx]],0))</f>
        <v>No Goal</v>
      </c>
      <c r="L12" s="35" t="str" cm="1">
        <f t="array" ref="L12">IF(OR(Tot_Latinx_Male=0,GoalAsPct_Tbl[[#This Row],[Latinx Male]]=0),"No Goal",ROUND(Tot_Latinx_Male*GoalAsPct_Tbl[[#This Row],[Latinx Male]],0))</f>
        <v>No Goal</v>
      </c>
      <c r="M12" s="35" t="str" cm="1">
        <f t="array" ref="M12">IF(OR(Tot_Latinx_Female=0,GoalAsPct_Tbl[[#This Row],[Latinx Female]]=0),"No Goal",ROUND(Tot_Latinx_Female*GoalAsPct_Tbl[[#This Row],[Latinx Female]],0))</f>
        <v>No Goal</v>
      </c>
      <c r="N12" s="33" t="str">
        <f>IF(OR(Tot_Multiracial=0,GoalAsPct_Tbl[[#This Row],[Multiracial]]=0),"No Goal",ROUND(Tot_Multiracial*GoalAsPct_Tbl[[#This Row],[Multiracial]],0))</f>
        <v>No Goal</v>
      </c>
      <c r="O12" s="33" t="str">
        <f>IF(OR(Tot_Multiracial_Male=0,GoalAsPct_Tbl[[#This Row],[Multiracial Male]]=0),"No Goal",ROUND(Tot_Multiracial_Male*GoalAsPct_Tbl[[#This Row],[Multiracial Male]],0))</f>
        <v>No Goal</v>
      </c>
      <c r="P12" s="33" t="str">
        <f>IF(OR(Tot_Multiracial_Female=0,GoalAsPct_Tbl[[#This Row],[Multiracial Female]]=0),"No Goal",ROUND(Tot_Multiracial_Female*GoalAsPct_Tbl[[#This Row],[Multiracial Female]],0))</f>
        <v>No Goal</v>
      </c>
      <c r="Q12" s="35" t="str">
        <f>IF(OR(Tot_AIorAN=0,GoalAsPct_Tbl[[#This Row],[Native American or Alaska Native]]=0),"No Goal",ROUND(Tot_AIorAN*GoalAsPct_Tbl[[#This Row],[Native American or Alaska Native]],0))</f>
        <v>No Goal</v>
      </c>
      <c r="R12" s="35" t="str">
        <f>IF(OR(Tot_AIorAN_Male=0,GoalAsPct_Tbl[[#This Row],[Native American or Alaska Native Male]]=0),"No Goal",ROUND(Tot_AIorAN_Male*GoalAsPct_Tbl[[#This Row],[Native American or Alaska Native Male]],0))</f>
        <v>No Goal</v>
      </c>
      <c r="S12" s="35" t="str">
        <f>IF(OR(Tot_AIorAN_Female=0,GoalAsPct_Tbl[[#This Row],[Native American or Alaska Native Female]]=0),"No Goal",ROUND(Tot_AIorAN_Female*GoalAsPct_Tbl[[#This Row],[Native American or Alaska Native Female]],0))</f>
        <v>No Goal</v>
      </c>
      <c r="T12" s="33" t="str" cm="1">
        <f t="array" ref="T12">IF(Tot_WN_Latinx*GoalAsPct_Tbl[[#This Row],[White Non-Latinx]]&lt;1,"No Goal",ROUND(Tot_WN_Latinx*GoalAsPct_Tbl[[#This Row],[White Non-Latinx]],0))</f>
        <v>No Goal</v>
      </c>
      <c r="U12" s="142" t="str" cm="1">
        <f t="array" ref="U12">IF(OR(Tot_WN_Latinx_Male=0,GoalAsPct_Tbl[[#This Row],[White Non-Latinx Male]]=0),"No Goal",ROUND(Tot_WN_Latinx_Male*GoalAsPct_Tbl[[#This Row],[White Non-Latinx Male]],0))</f>
        <v>No Goal</v>
      </c>
      <c r="V12" s="142" t="str" cm="1">
        <f t="array" ref="V12">IF(OR(Tot_WN_Latinx_Female=0,GoalAsPct_Tbl[[#This Row],[White Non-Latinx Female]]=0),"No Goal",ROUND(Tot_WN_Latinx_Female*GoalAsPct_Tbl[[#This Row],[White Non-Latinx Female]],0))</f>
        <v>No Goal</v>
      </c>
      <c r="W12" s="177" t="str">
        <f>IF(OR(Tot_Disab=0,GoalAsPct_Tbl[[#This Row],[Learners with Disabilities]]=0),"No Goal",ROUND(Tot_Disab*GoalAsPct_Tbl[[#This Row],[Learners with Disabilities]],0))</f>
        <v>No Goal</v>
      </c>
      <c r="X12" s="177" t="str">
        <f>IF(OR(Tot_Disab_Male=0,GoalAsPct_Tbl[[#This Row],[Learners with Disabilities Male]]=0),"No Goal",ROUND(Tot_Disab_Male*GoalAsPct_Tbl[[#This Row],[Learners with Disabilities Male]],0))</f>
        <v>No Goal</v>
      </c>
      <c r="Y12" s="177" t="str">
        <f>IF(OR(Tot_Disab_Female=0,GoalAsPct_Tbl[[#This Row],[Learners with Disabilities Female]]=0),"No Goal",ROUND(Tot_Disab_Female*GoalAsPct_Tbl[[#This Row],[Learners with Disabilities Female]],0))</f>
        <v>No Goal</v>
      </c>
      <c r="Z12" s="142" t="str">
        <f>IF(OR(Tot_Econ_Disadv=0,GoalAsPct_Tbl[[#This Row],[Economically Disadvantaged]]=0),"No Goal",ROUND(Tot_Econ_Disadv*GoalAsPct_Tbl[[#This Row],[Economically Disadvantaged]],0))</f>
        <v>No Goal</v>
      </c>
      <c r="AA12" s="142" t="str">
        <f>IF(OR(Tot_Econ_Disadv_Male=0,GoalAsPct_Tbl[[#This Row],[Economically Disadvantaged Male]]=0),"No Goal",ROUND(Tot_Econ_Disadv_Male*GoalAsPct_Tbl[[#This Row],[Economically Disadvantaged Male]],0))</f>
        <v>No Goal</v>
      </c>
      <c r="AB12" s="142" t="str">
        <f>IF(OR(Tot_Econ_Disadv_Female=0,GoalAsPct_Tbl[[#This Row],[Economically Disadvantaged Female]]=0),"No Goal",ROUND(Tot_Econ_Disadv_Female*GoalAsPct_Tbl[[#This Row],[Economically Disadvantaged Female]],0))</f>
        <v>No Goal</v>
      </c>
      <c r="AC12" s="177" t="str">
        <f>IF(OR(Tot_Eng_Lang=0,GoalAsPct_Tbl[[#This Row],[English Learner]]=0),"No Goal",ROUND(Tot_Eng_Lang*GoalAsPct_Tbl[[#This Row],[English Learner]],0))</f>
        <v>No Goal</v>
      </c>
      <c r="AD12" s="177" t="str">
        <f>IF(OR(Tot_Eng_Lang_Male=0,GoalAsPct_Tbl[[#This Row],[English Learner Male]]=0),"No Goal",ROUND(Tot_Eng_Lang_Male*GoalAsPct_Tbl[[#This Row],[English Learner Male]],0))</f>
        <v>No Goal</v>
      </c>
      <c r="AE12" s="35" t="str">
        <f>IF(Tot_Eng_Lang_Female*GoalAsPct_Tbl[[#This Row],[English Learner Female]]&lt;1,"No Goal",ROUND(Tot_Eng_Lang_Female*GoalAsPct_Tbl[[#This Row],[English Learner Female]],0))</f>
        <v>No Goal</v>
      </c>
      <c r="AF12" s="33" t="str">
        <f>IF(Tot_Migrant*GoalAsPct_Tbl[[#This Row],[Migrant]]&lt;1,"No Goal",ROUND(Tot_Migrant*GoalAsPct_Tbl[[#This Row],[Migrant]],0))</f>
        <v>No Goal</v>
      </c>
      <c r="AG12" s="142" t="str">
        <f>IF(OR(Tot_Migrant_Male=0,GoalAsPct_Tbl[[#This Row],[Migrant Male]]=0),"No Goal",ROUND(Tot_Migrant_Male*GoalAsPct_Tbl[[#This Row],[Migrant Male]],0))</f>
        <v>No Goal</v>
      </c>
      <c r="AH12" s="142" t="str">
        <f>IF(OR(Tot_Migrant_Female=0,GoalAsPct_Tbl[[#This Row],[Migrant Female]]=0),"No Goal",ROUND(Tot_Migrant_Female*GoalAsPct_Tbl[[#This Row],[Migrant Female]],0))</f>
        <v>No Goal</v>
      </c>
      <c r="AI12" s="27"/>
      <c r="AJ12" s="27"/>
      <c r="AK12" s="27"/>
      <c r="AL12" s="27"/>
      <c r="AM12" s="27"/>
      <c r="AN12" s="27"/>
      <c r="AO12" s="27"/>
      <c r="AP12" s="27"/>
      <c r="AQ12" s="27"/>
      <c r="AR12" s="27"/>
      <c r="AS12" s="27"/>
      <c r="AT12" s="27"/>
    </row>
    <row r="13" spans="1:50" ht="17" customHeight="1" x14ac:dyDescent="0.2">
      <c r="A13" s="48" t="str">
        <f>Count_Tbl[[#This Row],[Column1]]</f>
        <v>Wages</v>
      </c>
      <c r="B13" s="176" t="str">
        <f>IF(OR(Tot_Student_Pop=0,GoalAsPct_Tbl[[#This Row],[Total Population for Each Indicator]]=0),"No Goal",ROUND(Tot_Student_Pop*GoalAsPct_Tbl[[#This Row],[Total Population for Each Indicator]],0))</f>
        <v>No Goal</v>
      </c>
      <c r="C13" s="33" t="str">
        <f>IF(OR(Tot_Male=0,GoalAsPct_Tbl[[#This Row],[Male]]=0),"No Goal",ROUND(Tot_Male*GoalAsPct_Tbl[[#This Row],[Male]],0))</f>
        <v>No Goal</v>
      </c>
      <c r="D13" s="33" t="str">
        <f>IF(OR(Tot_Female=0,GoalAsPct_Tbl[[#This Row],[Female]]=0),"No Goal",ROUND(Tot_Female*GoalAsPct_Tbl[[#This Row],[Female]],0))</f>
        <v>No Goal</v>
      </c>
      <c r="E13" s="35" t="str">
        <f>IF(OR(Tot_API=0,GoalAsPct_Tbl[[#This Row],[Asian or Pacific Islander]]=0),"No Goal",ROUND(Tot_API*GoalAsPct_Tbl[[#This Row],[Asian or Pacific Islander]],0))</f>
        <v>No Goal</v>
      </c>
      <c r="F13" s="35" t="str">
        <f>IF(OR(Tot_API_Male=0,GoalAsPct_Tbl[[#This Row],[Asian or Pacific Islander Male]]=0),"No Goal",ROUND(Tot_API_Male*GoalAsPct_Tbl[[#This Row],[Asian or Pacific Islander Male]],0))</f>
        <v>No Goal</v>
      </c>
      <c r="G13" s="35" t="str">
        <f>IF(OR(Tot_API_Female=0,GoalAsPct_Tbl[[#This Row],[Asian or Pacific Islander Female]]=0),"No Goal",ROUND(Tot_API_Female*GoalAsPct_Tbl[[#This Row],[Asian or Pacific Islander Female]],0))</f>
        <v>No Goal</v>
      </c>
      <c r="H13" s="33" t="str">
        <f>IF(OR(Tot_BNL=0,GoalAsPct_Tbl[[#This Row],[Black Non-Latinx]]=0),"No Goal",ROUND(Tot_BNL*GoalAsPct_Tbl[[#This Row],[Black Non-Latinx]],0))</f>
        <v>No Goal</v>
      </c>
      <c r="I13" s="33" t="str">
        <f>IF(OR(Tot_BNL_Male=0,GoalAsPct_Tbl[[#This Row],[Black Non-Latinx Male]]=0),"No Goal",ROUND(Tot_BNL_Male*GoalAsPct_Tbl[[#This Row],[Black Non-Latinx Male]],0))</f>
        <v>No Goal</v>
      </c>
      <c r="J13" s="33" t="str">
        <f>IF(OR(Tot_BNL_Female=0,GoalAsPct_Tbl[[#This Row],[Black Non-Latinx Female]]=0),"No Goal",ROUND(Tot_BNL_Female*GoalAsPct_Tbl[[#This Row],[Black Non-Latinx Female]],0))</f>
        <v>No Goal</v>
      </c>
      <c r="K13" s="35" t="str" cm="1">
        <f t="array" ref="K13">IF(OR(Tot_Latinx=0,GoalAsPct_Tbl[[#This Row],[Latinx]]=0),"No Goal",ROUND(Tot_Latinx*GoalAsPct_Tbl[[#This Row],[Latinx]],0))</f>
        <v>No Goal</v>
      </c>
      <c r="L13" s="35" t="str" cm="1">
        <f t="array" ref="L13">IF(OR(Tot_Latinx_Male=0,GoalAsPct_Tbl[[#This Row],[Latinx Male]]=0),"No Goal",ROUND(Tot_Latinx_Male*GoalAsPct_Tbl[[#This Row],[Latinx Male]],0))</f>
        <v>No Goal</v>
      </c>
      <c r="M13" s="35" t="str" cm="1">
        <f t="array" ref="M13">IF(OR(Tot_Latinx_Female=0,GoalAsPct_Tbl[[#This Row],[Latinx Female]]=0),"No Goal",ROUND(Tot_Latinx_Female*GoalAsPct_Tbl[[#This Row],[Latinx Female]],0))</f>
        <v>No Goal</v>
      </c>
      <c r="N13" s="33" t="str">
        <f>IF(OR(Tot_Multiracial=0,GoalAsPct_Tbl[[#This Row],[Multiracial]]=0),"No Goal",ROUND(Tot_Multiracial*GoalAsPct_Tbl[[#This Row],[Multiracial]],0))</f>
        <v>No Goal</v>
      </c>
      <c r="O13" s="33" t="str">
        <f>IF(OR(Tot_Multiracial_Male=0,GoalAsPct_Tbl[[#This Row],[Multiracial Male]]=0),"No Goal",ROUND(Tot_Multiracial_Male*GoalAsPct_Tbl[[#This Row],[Multiracial Male]],0))</f>
        <v>No Goal</v>
      </c>
      <c r="P13" s="33" t="str">
        <f>IF(OR(Tot_Multiracial_Female=0,GoalAsPct_Tbl[[#This Row],[Multiracial Female]]=0),"No Goal",ROUND(Tot_Multiracial_Female*GoalAsPct_Tbl[[#This Row],[Multiracial Female]],0))</f>
        <v>No Goal</v>
      </c>
      <c r="Q13" s="35" t="str">
        <f>IF(OR(Tot_AIorAN=0,GoalAsPct_Tbl[[#This Row],[Native American or Alaska Native]]=0),"No Goal",ROUND(Tot_AIorAN*GoalAsPct_Tbl[[#This Row],[Native American or Alaska Native]],0))</f>
        <v>No Goal</v>
      </c>
      <c r="R13" s="35" t="str">
        <f>IF(OR(Tot_AIorAN_Male=0,GoalAsPct_Tbl[[#This Row],[Native American or Alaska Native Male]]=0),"No Goal",ROUND(Tot_AIorAN_Male*GoalAsPct_Tbl[[#This Row],[Native American or Alaska Native Male]],0))</f>
        <v>No Goal</v>
      </c>
      <c r="S13" s="35" t="str">
        <f>IF(OR(Tot_AIorAN_Female=0,GoalAsPct_Tbl[[#This Row],[Native American or Alaska Native Female]]=0),"No Goal",ROUND(Tot_AIorAN_Female*GoalAsPct_Tbl[[#This Row],[Native American or Alaska Native Female]],0))</f>
        <v>No Goal</v>
      </c>
      <c r="T13" s="33" t="str" cm="1">
        <f t="array" ref="T13">IF(Tot_WN_Latinx*GoalAsPct_Tbl[[#This Row],[White Non-Latinx]]&lt;1,"No Goal",ROUND(Tot_WN_Latinx*GoalAsPct_Tbl[[#This Row],[White Non-Latinx]],0))</f>
        <v>No Goal</v>
      </c>
      <c r="U13" s="142" t="str" cm="1">
        <f t="array" ref="U13">IF(OR(Tot_WN_Latinx_Male=0,GoalAsPct_Tbl[[#This Row],[White Non-Latinx Male]]=0),"No Goal",ROUND(Tot_WN_Latinx_Male*GoalAsPct_Tbl[[#This Row],[White Non-Latinx Male]],0))</f>
        <v>No Goal</v>
      </c>
      <c r="V13" s="142" t="str" cm="1">
        <f t="array" ref="V13">IF(OR(Tot_WN_Latinx_Female=0,GoalAsPct_Tbl[[#This Row],[White Non-Latinx Female]]=0),"No Goal",ROUND(Tot_WN_Latinx_Female*GoalAsPct_Tbl[[#This Row],[White Non-Latinx Female]],0))</f>
        <v>No Goal</v>
      </c>
      <c r="W13" s="177" t="str">
        <f>IF(OR(Tot_Disab=0,GoalAsPct_Tbl[[#This Row],[Learners with Disabilities]]=0),"No Goal",ROUND(Tot_Disab*GoalAsPct_Tbl[[#This Row],[Learners with Disabilities]],0))</f>
        <v>No Goal</v>
      </c>
      <c r="X13" s="177" t="str">
        <f>IF(OR(Tot_Disab_Male=0,GoalAsPct_Tbl[[#This Row],[Learners with Disabilities Male]]=0),"No Goal",ROUND(Tot_Disab_Male*GoalAsPct_Tbl[[#This Row],[Learners with Disabilities Male]],0))</f>
        <v>No Goal</v>
      </c>
      <c r="Y13" s="177" t="str">
        <f>IF(OR(Tot_Disab_Female=0,GoalAsPct_Tbl[[#This Row],[Learners with Disabilities Female]]=0),"No Goal",ROUND(Tot_Disab_Female*GoalAsPct_Tbl[[#This Row],[Learners with Disabilities Female]],0))</f>
        <v>No Goal</v>
      </c>
      <c r="Z13" s="142" t="str">
        <f>IF(OR(Tot_Econ_Disadv=0,GoalAsPct_Tbl[[#This Row],[Economically Disadvantaged]]=0),"No Goal",ROUND(Tot_Econ_Disadv*GoalAsPct_Tbl[[#This Row],[Economically Disadvantaged]],0))</f>
        <v>No Goal</v>
      </c>
      <c r="AA13" s="142" t="str">
        <f>IF(OR(Tot_Econ_Disadv_Male=0,GoalAsPct_Tbl[[#This Row],[Economically Disadvantaged Male]]=0),"No Goal",ROUND(Tot_Econ_Disadv_Male*GoalAsPct_Tbl[[#This Row],[Economically Disadvantaged Male]],0))</f>
        <v>No Goal</v>
      </c>
      <c r="AB13" s="142" t="str">
        <f>IF(OR(Tot_Econ_Disadv_Female=0,GoalAsPct_Tbl[[#This Row],[Economically Disadvantaged Female]]=0),"No Goal",ROUND(Tot_Econ_Disadv_Female*GoalAsPct_Tbl[[#This Row],[Economically Disadvantaged Female]],0))</f>
        <v>No Goal</v>
      </c>
      <c r="AC13" s="177" t="str">
        <f>IF(OR(Tot_Eng_Lang=0,GoalAsPct_Tbl[[#This Row],[English Learner]]=0),"No Goal",ROUND(Tot_Eng_Lang*GoalAsPct_Tbl[[#This Row],[English Learner]],0))</f>
        <v>No Goal</v>
      </c>
      <c r="AD13" s="177" t="str">
        <f>IF(OR(Tot_Eng_Lang_Male=0,GoalAsPct_Tbl[[#This Row],[English Learner Male]]=0),"No Goal",ROUND(Tot_Eng_Lang_Male*GoalAsPct_Tbl[[#This Row],[English Learner Male]],0))</f>
        <v>No Goal</v>
      </c>
      <c r="AE13" s="35" t="str">
        <f>IF(Tot_Eng_Lang_Female*GoalAsPct_Tbl[[#This Row],[English Learner Female]]&lt;1,"No Goal",ROUND(Tot_Eng_Lang_Female*GoalAsPct_Tbl[[#This Row],[English Learner Female]],0))</f>
        <v>No Goal</v>
      </c>
      <c r="AF13" s="33" t="str">
        <f>IF(Tot_Migrant*GoalAsPct_Tbl[[#This Row],[Migrant]]&lt;1,"No Goal",ROUND(Tot_Migrant*GoalAsPct_Tbl[[#This Row],[Migrant]],0))</f>
        <v>No Goal</v>
      </c>
      <c r="AG13" s="142" t="str">
        <f>IF(OR(Tot_Migrant_Male=0,GoalAsPct_Tbl[[#This Row],[Migrant Male]]=0),"No Goal",ROUND(Tot_Migrant_Male*GoalAsPct_Tbl[[#This Row],[Migrant Male]],0))</f>
        <v>No Goal</v>
      </c>
      <c r="AH13" s="142" t="str">
        <f>IF(OR(Tot_Migrant_Female=0,GoalAsPct_Tbl[[#This Row],[Migrant Female]]=0),"No Goal",ROUND(Tot_Migrant_Female*GoalAsPct_Tbl[[#This Row],[Migrant Female]],0))</f>
        <v>No Goal</v>
      </c>
      <c r="AI13" s="27"/>
      <c r="AJ13" s="27"/>
      <c r="AK13" s="27"/>
      <c r="AL13" s="27"/>
      <c r="AM13" s="27"/>
      <c r="AN13" s="27"/>
      <c r="AO13" s="27"/>
      <c r="AP13" s="27"/>
      <c r="AQ13" s="27"/>
      <c r="AR13" s="27"/>
      <c r="AS13" s="27"/>
      <c r="AT13" s="27"/>
    </row>
    <row r="14" spans="1:50" ht="17" customHeight="1" x14ac:dyDescent="0.2">
      <c r="A14" s="48" t="str">
        <f>Count_Tbl[[#This Row],[Column1]]</f>
        <v>HWHD Wages</v>
      </c>
      <c r="B14" s="176" t="str">
        <f>IF(OR(Tot_Student_Pop=0,GoalAsPct_Tbl[[#This Row],[Total Population for Each Indicator]]=0),"No Goal",ROUND(Tot_Student_Pop*GoalAsPct_Tbl[[#This Row],[Total Population for Each Indicator]],0))</f>
        <v>No Goal</v>
      </c>
      <c r="C14" s="33" t="str">
        <f>IF(OR(Tot_Male=0,GoalAsPct_Tbl[[#This Row],[Male]]=0),"No Goal",ROUND(Tot_Male*GoalAsPct_Tbl[[#This Row],[Male]],0))</f>
        <v>No Goal</v>
      </c>
      <c r="D14" s="33" t="str">
        <f>IF(OR(Tot_Female=0,GoalAsPct_Tbl[[#This Row],[Female]]=0),"No Goal",ROUND(Tot_Female*GoalAsPct_Tbl[[#This Row],[Female]],0))</f>
        <v>No Goal</v>
      </c>
      <c r="E14" s="35" t="str">
        <f>IF(OR(Tot_API=0,GoalAsPct_Tbl[[#This Row],[Asian or Pacific Islander]]=0),"No Goal",ROUND(Tot_API*GoalAsPct_Tbl[[#This Row],[Asian or Pacific Islander]],0))</f>
        <v>No Goal</v>
      </c>
      <c r="F14" s="35" t="str">
        <f>IF(OR(Tot_API_Male=0,GoalAsPct_Tbl[[#This Row],[Asian or Pacific Islander Male]]=0),"No Goal",ROUND(Tot_API_Male*GoalAsPct_Tbl[[#This Row],[Asian or Pacific Islander Male]],0))</f>
        <v>No Goal</v>
      </c>
      <c r="G14" s="35" t="str">
        <f>IF(OR(Tot_API_Female=0,GoalAsPct_Tbl[[#This Row],[Asian or Pacific Islander Female]]=0),"No Goal",ROUND(Tot_API_Female*GoalAsPct_Tbl[[#This Row],[Asian or Pacific Islander Female]],0))</f>
        <v>No Goal</v>
      </c>
      <c r="H14" s="33" t="str">
        <f>IF(OR(Tot_BNL=0,GoalAsPct_Tbl[[#This Row],[Black Non-Latinx]]=0),"No Goal",ROUND(Tot_BNL*GoalAsPct_Tbl[[#This Row],[Black Non-Latinx]],0))</f>
        <v>No Goal</v>
      </c>
      <c r="I14" s="33" t="str">
        <f>IF(OR(Tot_BNL_Male=0,GoalAsPct_Tbl[[#This Row],[Black Non-Latinx Male]]=0),"No Goal",ROUND(Tot_BNL_Male*GoalAsPct_Tbl[[#This Row],[Black Non-Latinx Male]],0))</f>
        <v>No Goal</v>
      </c>
      <c r="J14" s="33" t="str">
        <f>IF(OR(Tot_BNL_Female=0,GoalAsPct_Tbl[[#This Row],[Black Non-Latinx Female]]=0),"No Goal",ROUND(Tot_BNL_Female*GoalAsPct_Tbl[[#This Row],[Black Non-Latinx Female]],0))</f>
        <v>No Goal</v>
      </c>
      <c r="K14" s="35" t="str" cm="1">
        <f t="array" ref="K14">IF(OR(Tot_Latinx=0,GoalAsPct_Tbl[[#This Row],[Latinx]]=0),"No Goal",ROUND(Tot_Latinx*GoalAsPct_Tbl[[#This Row],[Latinx]],0))</f>
        <v>No Goal</v>
      </c>
      <c r="L14" s="35" t="str" cm="1">
        <f t="array" ref="L14">IF(OR(Tot_Latinx_Male=0,GoalAsPct_Tbl[[#This Row],[Latinx Male]]=0),"No Goal",ROUND(Tot_Latinx_Male*GoalAsPct_Tbl[[#This Row],[Latinx Male]],0))</f>
        <v>No Goal</v>
      </c>
      <c r="M14" s="35" t="str" cm="1">
        <f t="array" ref="M14">IF(OR(Tot_Latinx_Female=0,GoalAsPct_Tbl[[#This Row],[Latinx Female]]=0),"No Goal",ROUND(Tot_Latinx_Female*GoalAsPct_Tbl[[#This Row],[Latinx Female]],0))</f>
        <v>No Goal</v>
      </c>
      <c r="N14" s="33" t="str">
        <f>IF(OR(Tot_Multiracial=0,GoalAsPct_Tbl[[#This Row],[Multiracial]]=0),"No Goal",ROUND(Tot_Multiracial*GoalAsPct_Tbl[[#This Row],[Multiracial]],0))</f>
        <v>No Goal</v>
      </c>
      <c r="O14" s="33" t="str">
        <f>IF(OR(Tot_Multiracial_Male=0,GoalAsPct_Tbl[[#This Row],[Multiracial Male]]=0),"No Goal",ROUND(Tot_Multiracial_Male*GoalAsPct_Tbl[[#This Row],[Multiracial Male]],0))</f>
        <v>No Goal</v>
      </c>
      <c r="P14" s="33" t="str">
        <f>IF(OR(Tot_Multiracial_Female=0,GoalAsPct_Tbl[[#This Row],[Multiracial Female]]=0),"No Goal",ROUND(Tot_Multiracial_Female*GoalAsPct_Tbl[[#This Row],[Multiracial Female]],0))</f>
        <v>No Goal</v>
      </c>
      <c r="Q14" s="35" t="str">
        <f>IF(OR(Tot_AIorAN=0,GoalAsPct_Tbl[[#This Row],[Native American or Alaska Native]]=0),"No Goal",ROUND(Tot_AIorAN*GoalAsPct_Tbl[[#This Row],[Native American or Alaska Native]],0))</f>
        <v>No Goal</v>
      </c>
      <c r="R14" s="35" t="str">
        <f>IF(OR(Tot_AIorAN_Male=0,GoalAsPct_Tbl[[#This Row],[Native American or Alaska Native Male]]=0),"No Goal",ROUND(Tot_AIorAN_Male*GoalAsPct_Tbl[[#This Row],[Native American or Alaska Native Male]],0))</f>
        <v>No Goal</v>
      </c>
      <c r="S14" s="35" t="str">
        <f>IF(OR(Tot_AIorAN_Female=0,GoalAsPct_Tbl[[#This Row],[Native American or Alaska Native Female]]=0),"No Goal",ROUND(Tot_AIorAN_Female*GoalAsPct_Tbl[[#This Row],[Native American or Alaska Native Female]],0))</f>
        <v>No Goal</v>
      </c>
      <c r="T14" s="33" t="str" cm="1">
        <f t="array" ref="T14">IF(Tot_WN_Latinx*GoalAsPct_Tbl[[#This Row],[White Non-Latinx]]&lt;1,"No Goal",ROUND(Tot_WN_Latinx*GoalAsPct_Tbl[[#This Row],[White Non-Latinx]],0))</f>
        <v>No Goal</v>
      </c>
      <c r="U14" s="142" t="str" cm="1">
        <f t="array" ref="U14">IF(OR(Tot_WN_Latinx_Male=0,GoalAsPct_Tbl[[#This Row],[White Non-Latinx Male]]=0),"No Goal",ROUND(Tot_WN_Latinx_Male*GoalAsPct_Tbl[[#This Row],[White Non-Latinx Male]],0))</f>
        <v>No Goal</v>
      </c>
      <c r="V14" s="142" t="str" cm="1">
        <f t="array" ref="V14">IF(OR(Tot_WN_Latinx_Female=0,GoalAsPct_Tbl[[#This Row],[White Non-Latinx Female]]=0),"No Goal",ROUND(Tot_WN_Latinx_Female*GoalAsPct_Tbl[[#This Row],[White Non-Latinx Female]],0))</f>
        <v>No Goal</v>
      </c>
      <c r="W14" s="177" t="str">
        <f>IF(OR(Tot_Disab=0,GoalAsPct_Tbl[[#This Row],[Learners with Disabilities]]=0),"No Goal",ROUND(Tot_Disab*GoalAsPct_Tbl[[#This Row],[Learners with Disabilities]],0))</f>
        <v>No Goal</v>
      </c>
      <c r="X14" s="177" t="str">
        <f>IF(OR(Tot_Disab_Male=0,GoalAsPct_Tbl[[#This Row],[Learners with Disabilities Male]]=0),"No Goal",ROUND(Tot_Disab_Male*GoalAsPct_Tbl[[#This Row],[Learners with Disabilities Male]],0))</f>
        <v>No Goal</v>
      </c>
      <c r="Y14" s="177" t="str">
        <f>IF(OR(Tot_Disab_Female=0,GoalAsPct_Tbl[[#This Row],[Learners with Disabilities Female]]=0),"No Goal",ROUND(Tot_Disab_Female*GoalAsPct_Tbl[[#This Row],[Learners with Disabilities Female]],0))</f>
        <v>No Goal</v>
      </c>
      <c r="Z14" s="142" t="str">
        <f>IF(OR(Tot_Econ_Disadv=0,GoalAsPct_Tbl[[#This Row],[Economically Disadvantaged]]=0),"No Goal",ROUND(Tot_Econ_Disadv*GoalAsPct_Tbl[[#This Row],[Economically Disadvantaged]],0))</f>
        <v>No Goal</v>
      </c>
      <c r="AA14" s="142" t="str">
        <f>IF(OR(Tot_Econ_Disadv_Male=0,GoalAsPct_Tbl[[#This Row],[Economically Disadvantaged Male]]=0),"No Goal",ROUND(Tot_Econ_Disadv_Male*GoalAsPct_Tbl[[#This Row],[Economically Disadvantaged Male]],0))</f>
        <v>No Goal</v>
      </c>
      <c r="AB14" s="142" t="str">
        <f>IF(OR(Tot_Econ_Disadv_Female=0,GoalAsPct_Tbl[[#This Row],[Economically Disadvantaged Female]]=0),"No Goal",ROUND(Tot_Econ_Disadv_Female*GoalAsPct_Tbl[[#This Row],[Economically Disadvantaged Female]],0))</f>
        <v>No Goal</v>
      </c>
      <c r="AC14" s="177" t="str">
        <f>IF(OR(Tot_Eng_Lang=0,GoalAsPct_Tbl[[#This Row],[English Learner]]=0),"No Goal",ROUND(Tot_Eng_Lang*GoalAsPct_Tbl[[#This Row],[English Learner]],0))</f>
        <v>No Goal</v>
      </c>
      <c r="AD14" s="177" t="str">
        <f>IF(OR(Tot_Eng_Lang_Male=0,GoalAsPct_Tbl[[#This Row],[English Learner Male]]=0),"No Goal",ROUND(Tot_Eng_Lang_Male*GoalAsPct_Tbl[[#This Row],[English Learner Male]],0))</f>
        <v>No Goal</v>
      </c>
      <c r="AE14" s="35" t="str">
        <f>IF(Tot_Eng_Lang_Female*GoalAsPct_Tbl[[#This Row],[English Learner Female]]&lt;1,"No Goal",ROUND(Tot_Eng_Lang_Female*GoalAsPct_Tbl[[#This Row],[English Learner Female]],0))</f>
        <v>No Goal</v>
      </c>
      <c r="AF14" s="33" t="str">
        <f>IF(Tot_Migrant*GoalAsPct_Tbl[[#This Row],[Migrant]]&lt;1,"No Goal",ROUND(Tot_Migrant*GoalAsPct_Tbl[[#This Row],[Migrant]],0))</f>
        <v>No Goal</v>
      </c>
      <c r="AG14" s="142" t="str">
        <f>IF(OR(Tot_Migrant_Male=0,GoalAsPct_Tbl[[#This Row],[Migrant Male]]=0),"No Goal",ROUND(Tot_Migrant_Male*GoalAsPct_Tbl[[#This Row],[Migrant Male]],0))</f>
        <v>No Goal</v>
      </c>
      <c r="AH14" s="142" t="str">
        <f>IF(OR(Tot_Migrant_Female=0,GoalAsPct_Tbl[[#This Row],[Migrant Female]]=0),"No Goal",ROUND(Tot_Migrant_Female*GoalAsPct_Tbl[[#This Row],[Migrant Female]],0))</f>
        <v>No Goal</v>
      </c>
      <c r="AI14" s="27"/>
      <c r="AJ14" s="27"/>
      <c r="AK14" s="27"/>
      <c r="AL14" s="27"/>
      <c r="AM14" s="27"/>
      <c r="AN14" s="27"/>
      <c r="AO14" s="27"/>
      <c r="AP14" s="27"/>
      <c r="AQ14" s="27"/>
      <c r="AR14" s="27"/>
      <c r="AS14" s="27"/>
      <c r="AT14" s="27"/>
    </row>
    <row r="15" spans="1:50" ht="14.25" customHeight="1" x14ac:dyDescent="0.1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row>
    <row r="16" spans="1:50" ht="14.25" customHeight="1" x14ac:dyDescent="0.15">
      <c r="A16" s="27"/>
      <c r="B16" s="144"/>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71"/>
      <c r="AI16" s="27"/>
      <c r="AJ16" s="27"/>
      <c r="AK16" s="27"/>
      <c r="AL16" s="27"/>
      <c r="AM16" s="27"/>
      <c r="AN16" s="27"/>
      <c r="AO16" s="27"/>
      <c r="AP16" s="27"/>
      <c r="AQ16" s="27"/>
      <c r="AR16" s="27"/>
      <c r="AS16" s="27"/>
      <c r="AT16" s="27"/>
    </row>
    <row r="17" spans="1:46" ht="14" x14ac:dyDescent="0.15">
      <c r="A17" s="145"/>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71"/>
      <c r="AI17" s="27"/>
      <c r="AJ17" s="27"/>
      <c r="AK17" s="27"/>
      <c r="AL17" s="27"/>
      <c r="AM17" s="27"/>
      <c r="AN17" s="27"/>
      <c r="AO17" s="27"/>
      <c r="AP17" s="27"/>
      <c r="AQ17" s="27"/>
      <c r="AR17" s="27"/>
      <c r="AS17" s="27"/>
      <c r="AT17" s="27"/>
    </row>
    <row r="18" spans="1:46" ht="14.25" customHeight="1" x14ac:dyDescent="0.15">
      <c r="A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71"/>
      <c r="AI18" s="27"/>
      <c r="AJ18" s="27"/>
      <c r="AK18" s="27"/>
      <c r="AL18" s="27"/>
      <c r="AM18" s="27"/>
      <c r="AN18" s="27"/>
      <c r="AO18" s="27"/>
      <c r="AP18" s="27"/>
      <c r="AQ18" s="27"/>
      <c r="AR18" s="27"/>
      <c r="AS18" s="27"/>
      <c r="AT18" s="27"/>
    </row>
    <row r="19" spans="1:46" ht="28.5" customHeight="1" x14ac:dyDescent="0.15">
      <c r="A19" s="145"/>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71"/>
      <c r="AI19" s="27"/>
      <c r="AJ19" s="27"/>
      <c r="AK19" s="27"/>
      <c r="AL19" s="27"/>
      <c r="AM19" s="27"/>
      <c r="AN19" s="27"/>
      <c r="AO19" s="27"/>
      <c r="AP19" s="27"/>
      <c r="AQ19" s="27"/>
      <c r="AR19" s="27"/>
      <c r="AS19" s="27"/>
      <c r="AT19" s="27"/>
    </row>
    <row r="20" spans="1:46" ht="14.25" customHeight="1" x14ac:dyDescent="0.1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71"/>
      <c r="AI20" s="27"/>
      <c r="AJ20" s="27"/>
      <c r="AK20" s="27"/>
      <c r="AL20" s="27"/>
      <c r="AM20" s="27"/>
      <c r="AN20" s="27"/>
      <c r="AO20" s="27"/>
      <c r="AP20" s="27"/>
      <c r="AQ20" s="27"/>
      <c r="AR20" s="27"/>
      <c r="AS20" s="27"/>
      <c r="AT20" s="27"/>
    </row>
    <row r="21" spans="1:46" ht="14.25" customHeight="1" x14ac:dyDescent="0.1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71"/>
      <c r="AI21" s="27"/>
      <c r="AJ21" s="27"/>
      <c r="AK21" s="27"/>
      <c r="AL21" s="27"/>
      <c r="AM21" s="27"/>
      <c r="AN21" s="27"/>
      <c r="AO21" s="27"/>
      <c r="AP21" s="27"/>
      <c r="AQ21" s="27"/>
      <c r="AR21" s="27"/>
      <c r="AS21" s="27"/>
      <c r="AT21" s="27"/>
    </row>
    <row r="22" spans="1:46" ht="14.25" customHeight="1" x14ac:dyDescent="0.1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71"/>
      <c r="AI22" s="27"/>
      <c r="AJ22" s="27"/>
      <c r="AK22" s="27"/>
      <c r="AL22" s="27"/>
      <c r="AM22" s="27"/>
      <c r="AN22" s="27"/>
      <c r="AO22" s="27"/>
      <c r="AP22" s="27"/>
      <c r="AQ22" s="27"/>
      <c r="AR22" s="27"/>
      <c r="AS22" s="27"/>
      <c r="AT22" s="27"/>
    </row>
    <row r="23" spans="1:46" ht="14.25" customHeight="1" x14ac:dyDescent="0.15">
      <c r="A23" s="27"/>
      <c r="B23" s="27"/>
      <c r="C23" s="27"/>
      <c r="D23" s="27" t="s">
        <v>50</v>
      </c>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71"/>
      <c r="AI23" s="27"/>
      <c r="AJ23" s="27"/>
      <c r="AK23" s="27"/>
      <c r="AL23" s="27"/>
      <c r="AM23" s="27"/>
      <c r="AN23" s="27"/>
      <c r="AO23" s="27"/>
      <c r="AP23" s="27"/>
      <c r="AQ23" s="27"/>
      <c r="AR23" s="27"/>
      <c r="AS23" s="27"/>
      <c r="AT23" s="27"/>
    </row>
    <row r="24" spans="1:46" ht="14.25" customHeight="1" x14ac:dyDescent="0.1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row>
    <row r="25" spans="1:46" ht="14.25" customHeight="1" x14ac:dyDescent="0.1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row>
    <row r="26" spans="1:46" ht="14.25" customHeight="1" x14ac:dyDescent="0.1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row>
    <row r="27" spans="1:46" ht="14.25" customHeight="1" x14ac:dyDescent="0.1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row>
    <row r="28" spans="1:46" ht="14.25" customHeight="1" x14ac:dyDescent="0.1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row>
    <row r="29" spans="1:46" ht="14.25" customHeight="1" x14ac:dyDescent="0.1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row>
    <row r="30" spans="1:46" ht="14.25" customHeight="1" x14ac:dyDescent="0.1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row>
    <row r="31" spans="1:46" ht="14.25" customHeight="1" x14ac:dyDescent="0.1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row>
    <row r="32" spans="1:46" ht="14.25" customHeight="1" x14ac:dyDescent="0.1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row>
    <row r="33" spans="1:46" ht="14.25" customHeight="1"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row>
    <row r="34" spans="1:46" ht="14.25" customHeight="1"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row>
    <row r="35" spans="1:46" ht="14.25" customHeight="1"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row>
    <row r="36" spans="1:46" ht="14.25" customHeight="1"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row>
    <row r="37" spans="1:46" ht="14.25" customHeight="1"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row>
    <row r="38" spans="1:46" ht="14.25" customHeight="1"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row>
    <row r="39" spans="1:46" ht="14.25" customHeight="1"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row>
    <row r="40" spans="1:46" ht="14.25" customHeight="1"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row>
    <row r="41" spans="1:46" ht="14.25" customHeight="1"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row>
    <row r="42" spans="1:46" ht="14.25" customHeight="1"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4.25" customHeight="1"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row>
    <row r="44" spans="1:46" ht="14.25" customHeight="1"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row>
    <row r="45" spans="1:46" ht="14.25" customHeight="1"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row>
    <row r="46" spans="1:46" ht="14.25" customHeight="1"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row>
    <row r="47" spans="1:46" ht="14.25" customHeight="1"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row>
    <row r="48" spans="1:46" ht="14.25" customHeight="1"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row>
    <row r="49" spans="1:46" ht="14.25" customHeight="1"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row>
    <row r="50" spans="1:46" ht="14.25" customHeight="1"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row>
    <row r="51" spans="1:46" ht="14.25" customHeight="1"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row>
    <row r="52" spans="1:46" ht="14.25" customHeight="1"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row>
    <row r="53" spans="1:46" ht="14.25" customHeight="1"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row>
    <row r="54" spans="1:46" ht="14.25" customHeight="1"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row>
    <row r="55" spans="1:46" ht="14.25" customHeight="1"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row>
    <row r="56" spans="1:46" ht="14.25" customHeight="1"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row>
    <row r="57" spans="1:46" ht="14.25" customHeight="1"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row>
    <row r="58" spans="1:46" ht="14.25" customHeight="1"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row>
    <row r="59" spans="1:46" ht="14.25" customHeight="1"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row>
    <row r="60" spans="1:46" ht="14.25" customHeight="1"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row>
    <row r="61" spans="1:46" ht="14.25" customHeight="1"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row>
    <row r="62" spans="1:46" ht="14.25" customHeight="1" x14ac:dyDescent="0.1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ht="14.25" customHeight="1" x14ac:dyDescent="0.1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row>
    <row r="64" spans="1:46" ht="14.25" customHeight="1" x14ac:dyDescent="0.1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row>
    <row r="65" spans="1:46" ht="14.25" customHeight="1" x14ac:dyDescent="0.1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row>
    <row r="66" spans="1:46" ht="14.25" customHeight="1" x14ac:dyDescent="0.1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row>
    <row r="67" spans="1:46" ht="14.25" customHeight="1" x14ac:dyDescent="0.1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row>
    <row r="68" spans="1:46" ht="14.25" customHeight="1" x14ac:dyDescent="0.1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row>
    <row r="69" spans="1:46" ht="14.25" customHeight="1" x14ac:dyDescent="0.1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row>
    <row r="70" spans="1:46" ht="14.25" customHeight="1" x14ac:dyDescent="0.1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row>
    <row r="71" spans="1:46" ht="14.25" customHeight="1" x14ac:dyDescent="0.1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row>
    <row r="72" spans="1:46" ht="14.25" customHeight="1" x14ac:dyDescent="0.1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row>
    <row r="73" spans="1:46" ht="14.25" customHeight="1" x14ac:dyDescent="0.1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row>
    <row r="74" spans="1:46" ht="14.25" customHeight="1" x14ac:dyDescent="0.1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row>
    <row r="75" spans="1:46" ht="14.25" customHeight="1" x14ac:dyDescent="0.1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row>
    <row r="76" spans="1:46" ht="14.25" customHeight="1" x14ac:dyDescent="0.1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row>
    <row r="77" spans="1:46" ht="14.25" customHeight="1" x14ac:dyDescent="0.1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row>
    <row r="78" spans="1:46" ht="14.25" customHeight="1" x14ac:dyDescent="0.1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row>
    <row r="79" spans="1:46" ht="14.25" customHeight="1" x14ac:dyDescent="0.1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row>
    <row r="80" spans="1:46" ht="14.25" customHeight="1" x14ac:dyDescent="0.1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row>
    <row r="81" spans="1:46" ht="14.25" customHeight="1" x14ac:dyDescent="0.1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row>
    <row r="82" spans="1:46" ht="14.25" customHeight="1" x14ac:dyDescent="0.1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row>
    <row r="83" spans="1:46" ht="14.25" customHeight="1" x14ac:dyDescent="0.1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row>
    <row r="84" spans="1:46" ht="14.25" customHeight="1" x14ac:dyDescent="0.1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row>
    <row r="85" spans="1:46" ht="14.25" customHeight="1" x14ac:dyDescent="0.1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row>
    <row r="86" spans="1:46" ht="14.25" customHeight="1" x14ac:dyDescent="0.1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row>
    <row r="87" spans="1:46" ht="14.25" customHeight="1" x14ac:dyDescent="0.1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row>
    <row r="88" spans="1:46" ht="14.25" customHeight="1" x14ac:dyDescent="0.1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row>
    <row r="89" spans="1:46" ht="14.25" customHeight="1" x14ac:dyDescent="0.1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row>
    <row r="90" spans="1:46" ht="14.25" customHeight="1" x14ac:dyDescent="0.1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row>
    <row r="91" spans="1:46" ht="14.25" customHeight="1" x14ac:dyDescent="0.1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1:46" ht="14.25" customHeight="1" x14ac:dyDescent="0.1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row>
    <row r="93" spans="1:46" ht="14.25" customHeight="1" x14ac:dyDescent="0.1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row>
    <row r="94" spans="1:46" ht="14.25" customHeight="1" x14ac:dyDescent="0.1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row>
    <row r="95" spans="1:46" ht="14.25" customHeight="1" x14ac:dyDescent="0.1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row>
    <row r="96" spans="1:46" ht="14.25" customHeight="1" x14ac:dyDescent="0.1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row>
    <row r="97" spans="1:46" ht="14.25" customHeight="1" x14ac:dyDescent="0.1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row>
    <row r="98" spans="1:46" ht="14.25" customHeight="1" x14ac:dyDescent="0.1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row>
    <row r="99" spans="1:46" ht="14.25" customHeight="1" x14ac:dyDescent="0.1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row>
    <row r="100" spans="1:46" ht="14.25" customHeight="1" x14ac:dyDescent="0.1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row>
    <row r="101" spans="1:46" ht="14.25" customHeight="1" x14ac:dyDescent="0.1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row>
    <row r="102" spans="1:46" ht="14.25" customHeight="1" x14ac:dyDescent="0.1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row>
    <row r="103" spans="1:46" ht="14.25" customHeight="1" x14ac:dyDescent="0.1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row>
    <row r="104" spans="1:46" ht="14.25" customHeight="1" x14ac:dyDescent="0.1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row>
    <row r="105" spans="1:46" ht="14.25" customHeight="1" x14ac:dyDescent="0.1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row>
    <row r="106" spans="1:46" ht="14.25" customHeight="1" x14ac:dyDescent="0.1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row>
    <row r="107" spans="1:46" ht="14.25" customHeight="1" x14ac:dyDescent="0.1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row>
    <row r="108" spans="1:46" ht="14.25" customHeight="1" x14ac:dyDescent="0.1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row>
    <row r="109" spans="1:46" ht="14.25" customHeight="1" x14ac:dyDescent="0.1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row>
    <row r="110" spans="1:46" ht="14.25" customHeight="1" x14ac:dyDescent="0.1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row>
    <row r="111" spans="1:46" ht="14.25" customHeight="1" x14ac:dyDescent="0.1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row>
    <row r="112" spans="1:46" ht="14.25" customHeight="1" x14ac:dyDescent="0.1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row>
    <row r="113" spans="1:46" ht="14.25" customHeight="1" x14ac:dyDescent="0.1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row>
    <row r="114" spans="1:46" ht="14.25" customHeight="1" x14ac:dyDescent="0.1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row>
    <row r="115" spans="1:46" ht="14.25" customHeight="1" x14ac:dyDescent="0.1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row>
    <row r="116" spans="1:46" ht="14.25" customHeight="1" x14ac:dyDescent="0.1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row>
    <row r="117" spans="1:46" ht="14.25" customHeight="1" x14ac:dyDescent="0.1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row>
    <row r="118" spans="1:46" ht="14.25" customHeight="1" x14ac:dyDescent="0.1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row>
    <row r="119" spans="1:46" ht="14.25" customHeight="1" x14ac:dyDescent="0.1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row>
    <row r="120" spans="1:46" ht="14.25" customHeight="1" x14ac:dyDescent="0.1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row>
    <row r="121" spans="1:46" ht="14.25" customHeight="1" x14ac:dyDescent="0.1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row>
    <row r="122" spans="1:46" ht="14.25" customHeight="1" x14ac:dyDescent="0.1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row>
    <row r="123" spans="1:46" ht="14.25" customHeight="1" x14ac:dyDescent="0.1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row>
    <row r="124" spans="1:46" ht="14.25" customHeight="1" x14ac:dyDescent="0.1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row>
    <row r="125" spans="1:46" ht="14.25" customHeight="1" x14ac:dyDescent="0.1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row>
    <row r="126" spans="1:46" ht="14.25" customHeight="1" x14ac:dyDescent="0.1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row>
    <row r="127" spans="1:46" ht="14.25" customHeight="1" x14ac:dyDescent="0.1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row>
    <row r="128" spans="1:46" ht="14.25" customHeight="1" x14ac:dyDescent="0.1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row>
    <row r="129" spans="1:46" ht="14.25" customHeight="1" x14ac:dyDescent="0.1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row>
    <row r="130" spans="1:46" ht="14.25" customHeight="1" x14ac:dyDescent="0.1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row>
    <row r="131" spans="1:46" ht="14.25" customHeight="1" x14ac:dyDescent="0.1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4.25" customHeight="1" x14ac:dyDescent="0.1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row>
    <row r="133" spans="1:46" ht="14.25" customHeight="1" x14ac:dyDescent="0.1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row>
    <row r="134" spans="1:46" ht="14.25" customHeight="1" x14ac:dyDescent="0.1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row>
    <row r="135" spans="1:46" ht="14.25" customHeight="1" x14ac:dyDescent="0.1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row>
    <row r="136" spans="1:46" ht="14.25" customHeight="1" x14ac:dyDescent="0.1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row>
    <row r="137" spans="1:46" ht="14.25" customHeight="1" x14ac:dyDescent="0.1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row>
    <row r="138" spans="1:46" ht="14.25" customHeight="1" x14ac:dyDescent="0.1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row>
    <row r="139" spans="1:46" ht="14.25" customHeight="1" x14ac:dyDescent="0.1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row>
    <row r="140" spans="1:46" ht="14.25" customHeight="1" x14ac:dyDescent="0.1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row>
    <row r="141" spans="1:46" ht="14.25" customHeight="1" x14ac:dyDescent="0.1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row>
    <row r="142" spans="1:46" ht="14.25" customHeight="1" x14ac:dyDescent="0.1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row>
    <row r="143" spans="1:46" ht="14.25" customHeight="1" x14ac:dyDescent="0.1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row>
    <row r="144" spans="1:46" ht="14.25" customHeight="1" x14ac:dyDescent="0.1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row>
    <row r="145" spans="1:46" ht="14.25" customHeight="1" x14ac:dyDescent="0.1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row>
    <row r="146" spans="1:46" ht="14.25" customHeight="1" x14ac:dyDescent="0.1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row>
    <row r="147" spans="1:46" ht="14.25" customHeight="1" x14ac:dyDescent="0.1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row>
    <row r="148" spans="1:46" ht="14.25" customHeight="1" x14ac:dyDescent="0.1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row>
    <row r="149" spans="1:46" ht="14.25" customHeight="1" x14ac:dyDescent="0.1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row>
    <row r="150" spans="1:46" ht="14.25" customHeight="1" x14ac:dyDescent="0.1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row>
    <row r="151" spans="1:46" ht="14.25" customHeight="1" x14ac:dyDescent="0.1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row>
    <row r="152" spans="1:46" ht="14.25" customHeight="1" x14ac:dyDescent="0.1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row>
    <row r="153" spans="1:46" ht="14.25" customHeight="1" x14ac:dyDescent="0.1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row>
    <row r="154" spans="1:46" ht="14.25" customHeight="1" x14ac:dyDescent="0.1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row>
    <row r="155" spans="1:46" ht="14.25" customHeight="1" x14ac:dyDescent="0.1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4.25" customHeight="1" x14ac:dyDescent="0.1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row>
    <row r="157" spans="1:46" ht="14.25" customHeight="1" x14ac:dyDescent="0.1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row>
    <row r="158" spans="1:46" ht="14.25" customHeight="1" x14ac:dyDescent="0.1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row>
    <row r="159" spans="1:46" ht="14.25" customHeight="1" x14ac:dyDescent="0.1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row>
    <row r="160" spans="1:46" ht="14.25" customHeight="1" x14ac:dyDescent="0.1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row>
    <row r="161" spans="1:46" ht="14.25" customHeight="1" x14ac:dyDescent="0.1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row>
    <row r="162" spans="1:46" ht="14.25" customHeight="1" x14ac:dyDescent="0.1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row>
    <row r="163" spans="1:46" ht="14.25" customHeight="1" x14ac:dyDescent="0.1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row>
    <row r="164" spans="1:46" ht="14.25" customHeight="1" x14ac:dyDescent="0.1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row>
    <row r="165" spans="1:46" ht="14.25" customHeight="1" x14ac:dyDescent="0.1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row>
    <row r="166" spans="1:46" ht="14.25" customHeight="1" x14ac:dyDescent="0.1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row>
    <row r="167" spans="1:46" ht="14.25" customHeight="1" x14ac:dyDescent="0.1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row>
    <row r="168" spans="1:46" ht="14.25" customHeight="1" x14ac:dyDescent="0.1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row>
    <row r="169" spans="1:46" ht="14.25" customHeight="1" x14ac:dyDescent="0.1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row>
    <row r="170" spans="1:46" ht="14.25" customHeight="1" x14ac:dyDescent="0.1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row>
    <row r="171" spans="1:46" ht="14.25" customHeight="1" x14ac:dyDescent="0.1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row>
    <row r="172" spans="1:46" ht="14.25" customHeight="1" x14ac:dyDescent="0.1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row>
    <row r="173" spans="1:46" ht="14.25" customHeight="1" x14ac:dyDescent="0.1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row>
    <row r="174" spans="1:46" ht="14.25" customHeight="1" x14ac:dyDescent="0.1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row>
    <row r="175" spans="1:46" ht="14.25" customHeight="1" x14ac:dyDescent="0.1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row>
    <row r="176" spans="1:46" ht="14.25" customHeight="1" x14ac:dyDescent="0.1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row>
    <row r="177" spans="1:46" ht="14.25" customHeight="1" x14ac:dyDescent="0.1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row>
    <row r="178" spans="1:46" ht="14.25" customHeight="1" x14ac:dyDescent="0.1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row>
    <row r="179" spans="1:46" ht="14.25" customHeight="1" x14ac:dyDescent="0.1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row>
    <row r="180" spans="1:46" ht="14.25" customHeight="1" x14ac:dyDescent="0.1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row>
    <row r="181" spans="1:46" ht="14.25" customHeight="1" x14ac:dyDescent="0.1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row>
    <row r="182" spans="1:46" ht="14.25" customHeight="1" x14ac:dyDescent="0.1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row>
    <row r="183" spans="1:46" ht="14.25" customHeight="1" x14ac:dyDescent="0.1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row>
    <row r="184" spans="1:46" ht="14.25" customHeight="1" x14ac:dyDescent="0.1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row>
    <row r="185" spans="1:46" ht="14.25" customHeight="1" x14ac:dyDescent="0.1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row>
    <row r="186" spans="1:46" ht="14.25" customHeight="1" x14ac:dyDescent="0.1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row>
    <row r="187" spans="1:46" ht="14.25" customHeight="1" x14ac:dyDescent="0.1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row>
    <row r="188" spans="1:46" ht="14.25" customHeight="1" x14ac:dyDescent="0.1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row>
    <row r="189" spans="1:46" ht="14.25" customHeight="1" x14ac:dyDescent="0.1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row>
    <row r="190" spans="1:46" ht="14.25" customHeight="1" x14ac:dyDescent="0.1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row>
    <row r="191" spans="1:46" ht="14.25" customHeight="1" x14ac:dyDescent="0.1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row>
    <row r="192" spans="1:46" ht="14.25" customHeight="1" x14ac:dyDescent="0.1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row>
    <row r="193" spans="1:46" ht="14.25" customHeight="1" x14ac:dyDescent="0.1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row>
    <row r="194" spans="1:46" ht="14.25" customHeight="1" x14ac:dyDescent="0.1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row>
    <row r="195" spans="1:46" ht="14.25" customHeight="1" x14ac:dyDescent="0.1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row>
    <row r="196" spans="1:46" ht="14.25" customHeight="1" x14ac:dyDescent="0.1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row>
    <row r="197" spans="1:46" ht="14.25" customHeight="1" x14ac:dyDescent="0.1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row>
    <row r="198" spans="1:46" ht="14.25" customHeight="1" x14ac:dyDescent="0.1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row>
    <row r="199" spans="1:46" ht="14.25" customHeight="1" x14ac:dyDescent="0.1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row>
    <row r="200" spans="1:46" ht="14.25" customHeight="1" x14ac:dyDescent="0.1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row>
    <row r="201" spans="1:46" ht="14.25" customHeight="1" x14ac:dyDescent="0.1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row>
    <row r="202" spans="1:46" ht="14.25" customHeight="1" x14ac:dyDescent="0.1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row>
    <row r="203" spans="1:46" ht="14.25" customHeight="1" x14ac:dyDescent="0.1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row>
    <row r="204" spans="1:46" ht="14.25" customHeight="1" x14ac:dyDescent="0.1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row>
    <row r="205" spans="1:46" ht="14.25" customHeight="1" x14ac:dyDescent="0.1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row>
    <row r="206" spans="1:46" ht="14.25" customHeight="1" x14ac:dyDescent="0.1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row>
    <row r="207" spans="1:46" ht="14.25" customHeight="1" x14ac:dyDescent="0.1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row>
    <row r="208" spans="1:46" ht="14.25" customHeight="1" x14ac:dyDescent="0.1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row>
    <row r="209" spans="1:46" ht="14.25" customHeight="1" x14ac:dyDescent="0.1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row>
    <row r="210" spans="1:46" ht="14.25" customHeight="1" x14ac:dyDescent="0.1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row>
    <row r="211" spans="1:46" ht="14.25" customHeight="1" x14ac:dyDescent="0.1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row>
    <row r="212" spans="1:46" ht="14.25" customHeight="1" x14ac:dyDescent="0.1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row>
    <row r="213" spans="1:46" ht="14.25" customHeight="1" x14ac:dyDescent="0.1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row>
    <row r="214" spans="1:46" ht="14.25" customHeight="1" x14ac:dyDescent="0.1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row>
    <row r="215" spans="1:46" ht="14.25" customHeight="1" x14ac:dyDescent="0.1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row>
    <row r="216" spans="1:46" ht="15.75" customHeight="1" x14ac:dyDescent="0.15"/>
    <row r="217" spans="1:46" ht="15.75" customHeight="1" x14ac:dyDescent="0.15"/>
    <row r="218" spans="1:46" ht="15.75" customHeight="1" x14ac:dyDescent="0.15"/>
    <row r="219" spans="1:46" ht="15.75" customHeight="1" x14ac:dyDescent="0.15"/>
    <row r="220" spans="1:46" ht="15.75" customHeight="1" x14ac:dyDescent="0.15"/>
    <row r="221" spans="1:46" ht="15.75" customHeight="1" x14ac:dyDescent="0.15"/>
    <row r="222" spans="1:46" ht="15.75" customHeight="1" x14ac:dyDescent="0.15"/>
    <row r="223" spans="1:46" ht="15.75" customHeight="1" x14ac:dyDescent="0.15"/>
    <row r="224" spans="1:46" ht="15.75" customHeight="1" x14ac:dyDescent="0.15"/>
    <row r="225" s="8" customFormat="1" ht="15.75" customHeight="1" x14ac:dyDescent="0.15"/>
    <row r="226" s="8" customFormat="1" ht="15.75" customHeight="1" x14ac:dyDescent="0.15"/>
    <row r="227" s="8" customFormat="1" ht="15.75" customHeight="1" x14ac:dyDescent="0.15"/>
    <row r="228" s="8" customFormat="1" ht="15.75" customHeight="1" x14ac:dyDescent="0.15"/>
    <row r="229" s="8" customFormat="1" ht="15.75" customHeight="1" x14ac:dyDescent="0.15"/>
    <row r="230" s="8" customFormat="1" ht="15.75" customHeight="1" x14ac:dyDescent="0.15"/>
    <row r="231" s="8" customFormat="1" ht="15.75" customHeight="1" x14ac:dyDescent="0.15"/>
    <row r="232" s="8" customFormat="1" ht="15.75" customHeight="1" x14ac:dyDescent="0.15"/>
    <row r="233" s="8" customFormat="1" ht="15.75" customHeight="1" x14ac:dyDescent="0.15"/>
    <row r="234" s="8" customFormat="1" ht="15.75" customHeight="1" x14ac:dyDescent="0.15"/>
    <row r="235" s="8" customFormat="1" ht="15.75" customHeight="1" x14ac:dyDescent="0.15"/>
    <row r="236" s="8" customFormat="1" ht="15.75" customHeight="1" x14ac:dyDescent="0.15"/>
    <row r="237" s="8" customFormat="1" ht="15.75" customHeight="1" x14ac:dyDescent="0.15"/>
    <row r="238" s="8" customFormat="1" ht="15.75" customHeight="1" x14ac:dyDescent="0.15"/>
    <row r="239" s="8" customFormat="1" ht="15.75" customHeight="1" x14ac:dyDescent="0.15"/>
    <row r="240" s="8" customFormat="1" ht="15.75" customHeight="1" x14ac:dyDescent="0.15"/>
    <row r="241" s="8" customFormat="1" ht="15.75" customHeight="1" x14ac:dyDescent="0.15"/>
    <row r="242" s="8" customFormat="1" ht="15.75" customHeight="1" x14ac:dyDescent="0.15"/>
    <row r="243" s="8" customFormat="1" ht="15.75" customHeight="1" x14ac:dyDescent="0.15"/>
    <row r="244" s="8" customFormat="1" ht="15.75" customHeight="1" x14ac:dyDescent="0.15"/>
    <row r="245" s="8" customFormat="1" ht="15.75" customHeight="1" x14ac:dyDescent="0.15"/>
    <row r="246" s="8" customFormat="1" ht="15.75" customHeight="1" x14ac:dyDescent="0.15"/>
    <row r="247" s="8" customFormat="1" ht="15.75" customHeight="1" x14ac:dyDescent="0.15"/>
    <row r="248" s="8" customFormat="1" ht="15.75" customHeight="1" x14ac:dyDescent="0.15"/>
    <row r="249" s="8" customFormat="1" ht="15.75" customHeight="1" x14ac:dyDescent="0.15"/>
    <row r="250" s="8" customFormat="1" ht="15.75" customHeight="1" x14ac:dyDescent="0.15"/>
    <row r="251" s="8" customFormat="1" ht="15.75" customHeight="1" x14ac:dyDescent="0.15"/>
    <row r="252" s="8" customFormat="1" ht="15.75" customHeight="1" x14ac:dyDescent="0.15"/>
    <row r="253" s="8" customFormat="1" ht="15.75" customHeight="1" x14ac:dyDescent="0.15"/>
    <row r="254" s="8" customFormat="1" ht="15.75" customHeight="1" x14ac:dyDescent="0.15"/>
    <row r="255" s="8" customFormat="1" ht="15.75" customHeight="1" x14ac:dyDescent="0.15"/>
    <row r="256" s="8" customFormat="1" ht="15.75" customHeight="1" x14ac:dyDescent="0.15"/>
    <row r="257" s="8" customFormat="1" ht="15.75" customHeight="1" x14ac:dyDescent="0.15"/>
    <row r="258" s="8" customFormat="1" ht="15.75" customHeight="1" x14ac:dyDescent="0.15"/>
    <row r="259" s="8" customFormat="1" ht="15.75" customHeight="1" x14ac:dyDescent="0.15"/>
    <row r="260" s="8" customFormat="1" ht="15.75" customHeight="1" x14ac:dyDescent="0.15"/>
    <row r="261" s="8" customFormat="1" ht="15.75" customHeight="1" x14ac:dyDescent="0.15"/>
    <row r="262" s="8" customFormat="1" ht="15.75" customHeight="1" x14ac:dyDescent="0.15"/>
    <row r="263" s="8" customFormat="1" ht="15.75" customHeight="1" x14ac:dyDescent="0.15"/>
    <row r="264" s="8" customFormat="1" ht="15.75" customHeight="1" x14ac:dyDescent="0.15"/>
    <row r="265" s="8" customFormat="1" ht="15.75" customHeight="1" x14ac:dyDescent="0.15"/>
    <row r="266" s="8" customFormat="1" ht="15.75" customHeight="1" x14ac:dyDescent="0.15"/>
    <row r="267" s="8" customFormat="1" ht="15.75" customHeight="1" x14ac:dyDescent="0.15"/>
    <row r="268" s="8" customFormat="1" ht="15.75" customHeight="1" x14ac:dyDescent="0.15"/>
    <row r="269" s="8" customFormat="1" ht="15.75" customHeight="1" x14ac:dyDescent="0.15"/>
    <row r="270" s="8" customFormat="1" ht="15.75" customHeight="1" x14ac:dyDescent="0.15"/>
    <row r="271" s="8" customFormat="1" ht="15.75" customHeight="1" x14ac:dyDescent="0.15"/>
    <row r="272" s="8" customFormat="1" ht="15.75" customHeight="1" x14ac:dyDescent="0.15"/>
    <row r="273" s="8" customFormat="1" ht="15.75" customHeight="1" x14ac:dyDescent="0.15"/>
    <row r="274" s="8" customFormat="1" ht="15.75" customHeight="1" x14ac:dyDescent="0.15"/>
    <row r="275" s="8" customFormat="1" ht="15.75" customHeight="1" x14ac:dyDescent="0.15"/>
    <row r="276" s="8" customFormat="1" ht="15.75" customHeight="1" x14ac:dyDescent="0.15"/>
    <row r="277" s="8" customFormat="1" ht="15.75" customHeight="1" x14ac:dyDescent="0.15"/>
    <row r="278" s="8" customFormat="1" ht="15.75" customHeight="1" x14ac:dyDescent="0.15"/>
    <row r="279" s="8" customFormat="1" ht="15.75" customHeight="1" x14ac:dyDescent="0.15"/>
    <row r="280" s="8" customFormat="1" ht="15.75" customHeight="1" x14ac:dyDescent="0.15"/>
    <row r="281" s="8" customFormat="1" ht="15.75" customHeight="1" x14ac:dyDescent="0.15"/>
    <row r="282" s="8" customFormat="1" ht="15.75" customHeight="1" x14ac:dyDescent="0.15"/>
    <row r="283" s="8" customFormat="1" ht="15.75" customHeight="1" x14ac:dyDescent="0.15"/>
    <row r="284" s="8" customFormat="1" ht="15.75" customHeight="1" x14ac:dyDescent="0.15"/>
    <row r="285" s="8" customFormat="1" ht="15.75" customHeight="1" x14ac:dyDescent="0.15"/>
    <row r="286" s="8" customFormat="1" ht="15.75" customHeight="1" x14ac:dyDescent="0.15"/>
    <row r="287" s="8" customFormat="1" ht="15.75" customHeight="1" x14ac:dyDescent="0.15"/>
    <row r="288" s="8" customFormat="1" ht="15.75" customHeight="1" x14ac:dyDescent="0.15"/>
    <row r="289" s="8" customFormat="1" ht="15.75" customHeight="1" x14ac:dyDescent="0.15"/>
    <row r="290" s="8" customFormat="1" ht="15.75" customHeight="1" x14ac:dyDescent="0.15"/>
    <row r="291" s="8" customFormat="1" ht="15.75" customHeight="1" x14ac:dyDescent="0.15"/>
    <row r="292" s="8" customFormat="1" ht="15.75" customHeight="1" x14ac:dyDescent="0.15"/>
    <row r="293" s="8" customFormat="1" ht="15.75" customHeight="1" x14ac:dyDescent="0.15"/>
    <row r="294" s="8" customFormat="1" ht="15.75" customHeight="1" x14ac:dyDescent="0.15"/>
    <row r="295" s="8" customFormat="1" ht="15.75" customHeight="1" x14ac:dyDescent="0.15"/>
    <row r="296" s="8" customFormat="1" ht="15.75" customHeight="1" x14ac:dyDescent="0.15"/>
    <row r="297" s="8" customFormat="1" ht="15.75" customHeight="1" x14ac:dyDescent="0.15"/>
    <row r="298" s="8" customFormat="1" ht="15.75" customHeight="1" x14ac:dyDescent="0.15"/>
    <row r="299" s="8" customFormat="1" ht="15.75" customHeight="1" x14ac:dyDescent="0.15"/>
    <row r="300" s="8" customFormat="1" ht="15.75" customHeight="1" x14ac:dyDescent="0.15"/>
    <row r="301" s="8" customFormat="1" ht="15.75" customHeight="1" x14ac:dyDescent="0.15"/>
    <row r="302" s="8" customFormat="1" ht="15.75" customHeight="1" x14ac:dyDescent="0.15"/>
    <row r="303" s="8" customFormat="1" ht="15.75" customHeight="1" x14ac:dyDescent="0.15"/>
    <row r="304" s="8" customFormat="1" ht="15.75" customHeight="1" x14ac:dyDescent="0.15"/>
    <row r="305" s="8" customFormat="1" ht="15.75" customHeight="1" x14ac:dyDescent="0.15"/>
    <row r="306" s="8" customFormat="1" ht="15.75" customHeight="1" x14ac:dyDescent="0.15"/>
    <row r="307" s="8" customFormat="1" ht="15.75" customHeight="1" x14ac:dyDescent="0.15"/>
    <row r="308" s="8" customFormat="1" ht="15.75" customHeight="1" x14ac:dyDescent="0.15"/>
    <row r="309" s="8" customFormat="1" ht="15.75" customHeight="1" x14ac:dyDescent="0.15"/>
    <row r="310" s="8" customFormat="1" ht="15.75" customHeight="1" x14ac:dyDescent="0.15"/>
    <row r="311" s="8" customFormat="1" ht="15.75" customHeight="1" x14ac:dyDescent="0.15"/>
    <row r="312" s="8" customFormat="1" ht="15.75" customHeight="1" x14ac:dyDescent="0.15"/>
    <row r="313" s="8" customFormat="1" ht="15.75" customHeight="1" x14ac:dyDescent="0.15"/>
    <row r="314" s="8" customFormat="1" ht="15.75" customHeight="1" x14ac:dyDescent="0.15"/>
    <row r="315" s="8" customFormat="1" ht="15.75" customHeight="1" x14ac:dyDescent="0.15"/>
    <row r="316" s="8" customFormat="1" ht="15.75" customHeight="1" x14ac:dyDescent="0.15"/>
    <row r="317" s="8" customFormat="1" ht="15.75" customHeight="1" x14ac:dyDescent="0.15"/>
    <row r="318" s="8" customFormat="1" ht="15.75" customHeight="1" x14ac:dyDescent="0.15"/>
    <row r="319" s="8" customFormat="1" ht="15.75" customHeight="1" x14ac:dyDescent="0.15"/>
    <row r="320" s="8" customFormat="1" ht="15.75" customHeight="1" x14ac:dyDescent="0.15"/>
    <row r="321" s="8" customFormat="1" ht="15.75" customHeight="1" x14ac:dyDescent="0.15"/>
    <row r="322" s="8" customFormat="1" ht="15.75" customHeight="1" x14ac:dyDescent="0.15"/>
    <row r="323" s="8" customFormat="1" ht="15.75" customHeight="1" x14ac:dyDescent="0.15"/>
    <row r="324" s="8" customFormat="1" ht="15.75" customHeight="1" x14ac:dyDescent="0.15"/>
    <row r="325" s="8" customFormat="1" ht="15.75" customHeight="1" x14ac:dyDescent="0.15"/>
    <row r="326" s="8" customFormat="1" ht="15.75" customHeight="1" x14ac:dyDescent="0.15"/>
    <row r="327" s="8" customFormat="1" ht="15.75" customHeight="1" x14ac:dyDescent="0.15"/>
    <row r="328" s="8" customFormat="1" ht="15.75" customHeight="1" x14ac:dyDescent="0.15"/>
    <row r="329" s="8" customFormat="1" ht="15.75" customHeight="1" x14ac:dyDescent="0.15"/>
    <row r="330" s="8" customFormat="1" ht="15.75" customHeight="1" x14ac:dyDescent="0.15"/>
    <row r="331" s="8" customFormat="1" ht="15.75" customHeight="1" x14ac:dyDescent="0.15"/>
    <row r="332" s="8" customFormat="1" ht="15.75" customHeight="1" x14ac:dyDescent="0.15"/>
    <row r="333" s="8" customFormat="1" ht="15.75" customHeight="1" x14ac:dyDescent="0.15"/>
    <row r="334" s="8" customFormat="1" ht="15.75" customHeight="1" x14ac:dyDescent="0.15"/>
    <row r="335" s="8" customFormat="1" ht="15.75" customHeight="1" x14ac:dyDescent="0.15"/>
    <row r="336" s="8" customFormat="1" ht="15.75" customHeight="1" x14ac:dyDescent="0.15"/>
    <row r="337" s="8" customFormat="1" ht="15.75" customHeight="1" x14ac:dyDescent="0.15"/>
    <row r="338" s="8" customFormat="1" ht="15.75" customHeight="1" x14ac:dyDescent="0.15"/>
    <row r="339" s="8" customFormat="1" ht="15.75" customHeight="1" x14ac:dyDescent="0.15"/>
    <row r="340" s="8" customFormat="1" ht="15.75" customHeight="1" x14ac:dyDescent="0.15"/>
    <row r="341" s="8" customFormat="1" ht="15.75" customHeight="1" x14ac:dyDescent="0.15"/>
    <row r="342" s="8" customFormat="1" ht="15.75" customHeight="1" x14ac:dyDescent="0.15"/>
    <row r="343" s="8" customFormat="1" ht="15.75" customHeight="1" x14ac:dyDescent="0.15"/>
    <row r="344" s="8" customFormat="1" ht="15.75" customHeight="1" x14ac:dyDescent="0.15"/>
    <row r="345" s="8" customFormat="1" ht="15.75" customHeight="1" x14ac:dyDescent="0.15"/>
    <row r="346" s="8" customFormat="1" ht="15.75" customHeight="1" x14ac:dyDescent="0.15"/>
    <row r="347" s="8" customFormat="1" ht="15.75" customHeight="1" x14ac:dyDescent="0.15"/>
    <row r="348" s="8" customFormat="1" ht="15.75" customHeight="1" x14ac:dyDescent="0.15"/>
    <row r="349" s="8" customFormat="1" ht="15.75" customHeight="1" x14ac:dyDescent="0.15"/>
    <row r="350" s="8" customFormat="1" ht="15.75" customHeight="1" x14ac:dyDescent="0.15"/>
    <row r="351" s="8" customFormat="1" ht="15.75" customHeight="1" x14ac:dyDescent="0.15"/>
    <row r="352" s="8" customFormat="1" ht="15.75" customHeight="1" x14ac:dyDescent="0.15"/>
    <row r="353" s="8" customFormat="1" ht="15.75" customHeight="1" x14ac:dyDescent="0.15"/>
    <row r="354" s="8" customFormat="1" ht="15.75" customHeight="1" x14ac:dyDescent="0.15"/>
    <row r="355" s="8" customFormat="1" ht="15.75" customHeight="1" x14ac:dyDescent="0.15"/>
    <row r="356" s="8" customFormat="1" ht="15.75" customHeight="1" x14ac:dyDescent="0.15"/>
    <row r="357" s="8" customFormat="1" ht="15.75" customHeight="1" x14ac:dyDescent="0.15"/>
    <row r="358" s="8" customFormat="1" ht="15.75" customHeight="1" x14ac:dyDescent="0.15"/>
    <row r="359" s="8" customFormat="1" ht="15.75" customHeight="1" x14ac:dyDescent="0.15"/>
    <row r="360" s="8" customFormat="1" ht="15.75" customHeight="1" x14ac:dyDescent="0.15"/>
    <row r="361" s="8" customFormat="1" ht="15.75" customHeight="1" x14ac:dyDescent="0.15"/>
    <row r="362" s="8" customFormat="1" ht="15.75" customHeight="1" x14ac:dyDescent="0.15"/>
    <row r="363" s="8" customFormat="1" ht="15.75" customHeight="1" x14ac:dyDescent="0.15"/>
    <row r="364" s="8" customFormat="1" ht="15.75" customHeight="1" x14ac:dyDescent="0.15"/>
    <row r="365" s="8" customFormat="1" ht="15.75" customHeight="1" x14ac:dyDescent="0.15"/>
    <row r="366" s="8" customFormat="1" ht="15.75" customHeight="1" x14ac:dyDescent="0.15"/>
    <row r="367" s="8" customFormat="1" ht="15.75" customHeight="1" x14ac:dyDescent="0.15"/>
    <row r="368" s="8" customFormat="1" ht="15.75" customHeight="1" x14ac:dyDescent="0.15"/>
    <row r="369" s="8" customFormat="1" ht="15.75" customHeight="1" x14ac:dyDescent="0.15"/>
    <row r="370" s="8" customFormat="1" ht="15.75" customHeight="1" x14ac:dyDescent="0.15"/>
    <row r="371" s="8" customFormat="1" ht="15.75" customHeight="1" x14ac:dyDescent="0.15"/>
    <row r="372" s="8" customFormat="1" ht="15.75" customHeight="1" x14ac:dyDescent="0.15"/>
    <row r="373" s="8" customFormat="1" ht="15.75" customHeight="1" x14ac:dyDescent="0.15"/>
    <row r="374" s="8" customFormat="1" ht="15.75" customHeight="1" x14ac:dyDescent="0.15"/>
    <row r="375" s="8" customFormat="1" ht="15.75" customHeight="1" x14ac:dyDescent="0.15"/>
    <row r="376" s="8" customFormat="1" ht="15.75" customHeight="1" x14ac:dyDescent="0.15"/>
    <row r="377" s="8" customFormat="1" ht="15.75" customHeight="1" x14ac:dyDescent="0.15"/>
    <row r="378" s="8" customFormat="1" ht="15.75" customHeight="1" x14ac:dyDescent="0.15"/>
    <row r="379" s="8" customFormat="1" ht="15.75" customHeight="1" x14ac:dyDescent="0.15"/>
    <row r="380" s="8" customFormat="1" ht="15.75" customHeight="1" x14ac:dyDescent="0.15"/>
    <row r="381" s="8" customFormat="1" ht="15.75" customHeight="1" x14ac:dyDescent="0.15"/>
    <row r="382" s="8" customFormat="1" ht="15.75" customHeight="1" x14ac:dyDescent="0.15"/>
    <row r="383" s="8" customFormat="1" ht="15.75" customHeight="1" x14ac:dyDescent="0.15"/>
    <row r="384" s="8" customFormat="1" ht="15.75" customHeight="1" x14ac:dyDescent="0.15"/>
    <row r="385" s="8" customFormat="1" ht="15.75" customHeight="1" x14ac:dyDescent="0.15"/>
    <row r="386" s="8" customFormat="1" ht="15.75" customHeight="1" x14ac:dyDescent="0.15"/>
    <row r="387" s="8" customFormat="1" ht="15.75" customHeight="1" x14ac:dyDescent="0.15"/>
    <row r="388" s="8" customFormat="1" ht="15.75" customHeight="1" x14ac:dyDescent="0.15"/>
    <row r="389" s="8" customFormat="1" ht="15.75" customHeight="1" x14ac:dyDescent="0.15"/>
    <row r="390" s="8" customFormat="1" ht="15.75" customHeight="1" x14ac:dyDescent="0.15"/>
    <row r="391" s="8" customFormat="1" ht="15.75" customHeight="1" x14ac:dyDescent="0.15"/>
    <row r="392" s="8" customFormat="1" ht="15.75" customHeight="1" x14ac:dyDescent="0.15"/>
    <row r="393" s="8" customFormat="1" ht="15.75" customHeight="1" x14ac:dyDescent="0.15"/>
    <row r="394" s="8" customFormat="1" ht="15.75" customHeight="1" x14ac:dyDescent="0.15"/>
    <row r="395" s="8" customFormat="1" ht="15.75" customHeight="1" x14ac:dyDescent="0.15"/>
    <row r="396" s="8" customFormat="1" ht="15.75" customHeight="1" x14ac:dyDescent="0.15"/>
    <row r="397" s="8" customFormat="1" ht="15.75" customHeight="1" x14ac:dyDescent="0.15"/>
    <row r="398" s="8" customFormat="1" ht="15.75" customHeight="1" x14ac:dyDescent="0.15"/>
    <row r="399" s="8" customFormat="1" ht="15.75" customHeight="1" x14ac:dyDescent="0.15"/>
    <row r="400" s="8" customFormat="1" ht="15.75" customHeight="1" x14ac:dyDescent="0.15"/>
    <row r="401" s="8" customFormat="1" ht="15.75" customHeight="1" x14ac:dyDescent="0.15"/>
    <row r="402" s="8" customFormat="1" ht="15.75" customHeight="1" x14ac:dyDescent="0.15"/>
    <row r="403" s="8" customFormat="1" ht="15.75" customHeight="1" x14ac:dyDescent="0.15"/>
    <row r="404" s="8" customFormat="1" ht="15.75" customHeight="1" x14ac:dyDescent="0.15"/>
    <row r="405" s="8" customFormat="1" ht="15.75" customHeight="1" x14ac:dyDescent="0.15"/>
    <row r="406" s="8" customFormat="1" ht="15.75" customHeight="1" x14ac:dyDescent="0.15"/>
    <row r="407" s="8" customFormat="1" ht="15.75" customHeight="1" x14ac:dyDescent="0.15"/>
    <row r="408" s="8" customFormat="1" ht="15.75" customHeight="1" x14ac:dyDescent="0.15"/>
    <row r="409" s="8" customFormat="1" ht="15.75" customHeight="1" x14ac:dyDescent="0.15"/>
    <row r="410" s="8" customFormat="1" ht="15.75" customHeight="1" x14ac:dyDescent="0.15"/>
    <row r="411" s="8" customFormat="1" ht="15.75" customHeight="1" x14ac:dyDescent="0.15"/>
    <row r="412" s="8" customFormat="1" ht="15.75" customHeight="1" x14ac:dyDescent="0.15"/>
    <row r="413" s="8" customFormat="1" ht="15.75" customHeight="1" x14ac:dyDescent="0.15"/>
    <row r="414" s="8" customFormat="1" ht="15.75" customHeight="1" x14ac:dyDescent="0.15"/>
    <row r="415" s="8" customFormat="1" ht="15.75" customHeight="1" x14ac:dyDescent="0.15"/>
    <row r="416" s="8" customFormat="1" ht="15.75" customHeight="1" x14ac:dyDescent="0.15"/>
    <row r="417" s="8" customFormat="1" ht="15.75" customHeight="1" x14ac:dyDescent="0.15"/>
    <row r="418" s="8" customFormat="1" ht="15.75" customHeight="1" x14ac:dyDescent="0.15"/>
    <row r="419" s="8" customFormat="1" ht="15.75" customHeight="1" x14ac:dyDescent="0.15"/>
    <row r="420" s="8" customFormat="1" ht="15.75" customHeight="1" x14ac:dyDescent="0.15"/>
    <row r="421" s="8" customFormat="1" ht="15.75" customHeight="1" x14ac:dyDescent="0.15"/>
    <row r="422" s="8" customFormat="1" ht="15.75" customHeight="1" x14ac:dyDescent="0.15"/>
    <row r="423" s="8" customFormat="1" ht="15.75" customHeight="1" x14ac:dyDescent="0.15"/>
    <row r="424" s="8" customFormat="1" ht="15.75" customHeight="1" x14ac:dyDescent="0.15"/>
    <row r="425" s="8" customFormat="1" ht="15.75" customHeight="1" x14ac:dyDescent="0.15"/>
    <row r="426" s="8" customFormat="1" ht="15.75" customHeight="1" x14ac:dyDescent="0.15"/>
    <row r="427" s="8" customFormat="1" ht="15.75" customHeight="1" x14ac:dyDescent="0.15"/>
    <row r="428" s="8" customFormat="1" ht="15.75" customHeight="1" x14ac:dyDescent="0.15"/>
    <row r="429" s="8" customFormat="1" ht="15.75" customHeight="1" x14ac:dyDescent="0.15"/>
    <row r="430" s="8" customFormat="1" ht="15.75" customHeight="1" x14ac:dyDescent="0.15"/>
    <row r="431" s="8" customFormat="1" ht="15.75" customHeight="1" x14ac:dyDescent="0.15"/>
    <row r="432" s="8" customFormat="1" ht="15.75" customHeight="1" x14ac:dyDescent="0.15"/>
    <row r="433" s="8" customFormat="1" ht="15.75" customHeight="1" x14ac:dyDescent="0.15"/>
    <row r="434" s="8" customFormat="1" ht="15.75" customHeight="1" x14ac:dyDescent="0.15"/>
    <row r="435" s="8" customFormat="1" ht="15.75" customHeight="1" x14ac:dyDescent="0.15"/>
    <row r="436" s="8" customFormat="1" ht="15.75" customHeight="1" x14ac:dyDescent="0.15"/>
    <row r="437" s="8" customFormat="1" ht="15.75" customHeight="1" x14ac:dyDescent="0.15"/>
    <row r="438" s="8" customFormat="1" ht="15.75" customHeight="1" x14ac:dyDescent="0.15"/>
    <row r="439" s="8" customFormat="1" ht="15.75" customHeight="1" x14ac:dyDescent="0.15"/>
    <row r="440" s="8" customFormat="1" ht="15.75" customHeight="1" x14ac:dyDescent="0.15"/>
    <row r="441" s="8" customFormat="1" ht="15.75" customHeight="1" x14ac:dyDescent="0.15"/>
    <row r="442" s="8" customFormat="1" ht="15.75" customHeight="1" x14ac:dyDescent="0.15"/>
    <row r="443" s="8" customFormat="1" ht="15.75" customHeight="1" x14ac:dyDescent="0.15"/>
    <row r="444" s="8" customFormat="1" ht="15.75" customHeight="1" x14ac:dyDescent="0.15"/>
    <row r="445" s="8" customFormat="1" ht="15.75" customHeight="1" x14ac:dyDescent="0.15"/>
    <row r="446" s="8" customFormat="1" ht="15.75" customHeight="1" x14ac:dyDescent="0.15"/>
    <row r="447" s="8" customFormat="1" ht="15.75" customHeight="1" x14ac:dyDescent="0.15"/>
    <row r="448" s="8" customFormat="1" ht="15.75" customHeight="1" x14ac:dyDescent="0.15"/>
    <row r="449" s="8" customFormat="1" ht="15.75" customHeight="1" x14ac:dyDescent="0.15"/>
    <row r="450" s="8" customFormat="1" ht="15.75" customHeight="1" x14ac:dyDescent="0.15"/>
    <row r="451" s="8" customFormat="1" ht="15.75" customHeight="1" x14ac:dyDescent="0.15"/>
    <row r="452" s="8" customFormat="1" ht="15.75" customHeight="1" x14ac:dyDescent="0.15"/>
    <row r="453" s="8" customFormat="1" ht="15.75" customHeight="1" x14ac:dyDescent="0.15"/>
    <row r="454" s="8" customFormat="1" ht="15.75" customHeight="1" x14ac:dyDescent="0.15"/>
    <row r="455" s="8" customFormat="1" ht="15.75" customHeight="1" x14ac:dyDescent="0.15"/>
    <row r="456" s="8" customFormat="1" ht="15.75" customHeight="1" x14ac:dyDescent="0.15"/>
    <row r="457" s="8" customFormat="1" ht="15.75" customHeight="1" x14ac:dyDescent="0.15"/>
    <row r="458" s="8" customFormat="1" ht="15.75" customHeight="1" x14ac:dyDescent="0.15"/>
    <row r="459" s="8" customFormat="1" ht="15.75" customHeight="1" x14ac:dyDescent="0.15"/>
    <row r="460" s="8" customFormat="1" ht="15.75" customHeight="1" x14ac:dyDescent="0.15"/>
    <row r="461" s="8" customFormat="1" ht="15.75" customHeight="1" x14ac:dyDescent="0.15"/>
    <row r="462" s="8" customFormat="1" ht="15.75" customHeight="1" x14ac:dyDescent="0.15"/>
    <row r="463" s="8" customFormat="1" ht="15.75" customHeight="1" x14ac:dyDescent="0.15"/>
    <row r="464" s="8" customFormat="1" ht="15.75" customHeight="1" x14ac:dyDescent="0.15"/>
    <row r="465" s="8" customFormat="1" ht="15.75" customHeight="1" x14ac:dyDescent="0.15"/>
    <row r="466" s="8" customFormat="1" ht="15.75" customHeight="1" x14ac:dyDescent="0.15"/>
    <row r="467" s="8" customFormat="1" ht="15.75" customHeight="1" x14ac:dyDescent="0.15"/>
    <row r="468" s="8" customFormat="1" ht="15.75" customHeight="1" x14ac:dyDescent="0.15"/>
    <row r="469" s="8" customFormat="1" ht="15.75" customHeight="1" x14ac:dyDescent="0.15"/>
    <row r="470" s="8" customFormat="1" ht="15.75" customHeight="1" x14ac:dyDescent="0.15"/>
    <row r="471" s="8" customFormat="1" ht="15.75" customHeight="1" x14ac:dyDescent="0.15"/>
    <row r="472" s="8" customFormat="1" ht="15.75" customHeight="1" x14ac:dyDescent="0.15"/>
    <row r="473" s="8" customFormat="1" ht="15.75" customHeight="1" x14ac:dyDescent="0.15"/>
    <row r="474" s="8" customFormat="1" ht="15.75" customHeight="1" x14ac:dyDescent="0.15"/>
    <row r="475" s="8" customFormat="1" ht="15.75" customHeight="1" x14ac:dyDescent="0.15"/>
    <row r="476" s="8" customFormat="1" ht="15.75" customHeight="1" x14ac:dyDescent="0.15"/>
    <row r="477" s="8" customFormat="1" ht="15.75" customHeight="1" x14ac:dyDescent="0.15"/>
    <row r="478" s="8" customFormat="1" ht="15.75" customHeight="1" x14ac:dyDescent="0.15"/>
    <row r="479" s="8" customFormat="1" ht="15.75" customHeight="1" x14ac:dyDescent="0.15"/>
    <row r="480" s="8" customFormat="1" ht="15.75" customHeight="1" x14ac:dyDescent="0.15"/>
    <row r="481" s="8" customFormat="1" ht="15.75" customHeight="1" x14ac:dyDescent="0.15"/>
    <row r="482" s="8" customFormat="1" ht="15.75" customHeight="1" x14ac:dyDescent="0.15"/>
    <row r="483" s="8" customFormat="1" ht="15.75" customHeight="1" x14ac:dyDescent="0.15"/>
    <row r="484" s="8" customFormat="1" ht="15.75" customHeight="1" x14ac:dyDescent="0.15"/>
    <row r="485" s="8" customFormat="1" ht="15.75" customHeight="1" x14ac:dyDescent="0.15"/>
    <row r="486" s="8" customFormat="1" ht="15.75" customHeight="1" x14ac:dyDescent="0.15"/>
    <row r="487" s="8" customFormat="1" ht="15.75" customHeight="1" x14ac:dyDescent="0.15"/>
    <row r="488" s="8" customFormat="1" ht="15.75" customHeight="1" x14ac:dyDescent="0.15"/>
    <row r="489" s="8" customFormat="1" ht="15.75" customHeight="1" x14ac:dyDescent="0.15"/>
    <row r="490" s="8" customFormat="1" ht="15.75" customHeight="1" x14ac:dyDescent="0.15"/>
    <row r="491" s="8" customFormat="1" ht="15.75" customHeight="1" x14ac:dyDescent="0.15"/>
    <row r="492" s="8" customFormat="1" ht="15.75" customHeight="1" x14ac:dyDescent="0.15"/>
    <row r="493" s="8" customFormat="1" ht="15.75" customHeight="1" x14ac:dyDescent="0.15"/>
    <row r="494" s="8" customFormat="1" ht="15.75" customHeight="1" x14ac:dyDescent="0.15"/>
    <row r="495" s="8" customFormat="1" ht="15.75" customHeight="1" x14ac:dyDescent="0.15"/>
    <row r="496" s="8" customFormat="1" ht="15.75" customHeight="1" x14ac:dyDescent="0.15"/>
    <row r="497" s="8" customFormat="1" ht="15.75" customHeight="1" x14ac:dyDescent="0.15"/>
    <row r="498" s="8" customFormat="1" ht="15.75" customHeight="1" x14ac:dyDescent="0.15"/>
    <row r="499" s="8" customFormat="1" ht="15.75" customHeight="1" x14ac:dyDescent="0.15"/>
    <row r="500" s="8" customFormat="1" ht="15.75" customHeight="1" x14ac:dyDescent="0.15"/>
    <row r="501" s="8" customFormat="1" ht="15.75" customHeight="1" x14ac:dyDescent="0.15"/>
    <row r="502" s="8" customFormat="1" ht="15.75" customHeight="1" x14ac:dyDescent="0.15"/>
    <row r="503" s="8" customFormat="1" ht="15.75" customHeight="1" x14ac:dyDescent="0.15"/>
    <row r="504" s="8" customFormat="1" ht="15.75" customHeight="1" x14ac:dyDescent="0.15"/>
    <row r="505" s="8" customFormat="1" ht="15.75" customHeight="1" x14ac:dyDescent="0.15"/>
    <row r="506" s="8" customFormat="1" ht="15.75" customHeight="1" x14ac:dyDescent="0.15"/>
    <row r="507" s="8" customFormat="1" ht="15.75" customHeight="1" x14ac:dyDescent="0.15"/>
    <row r="508" s="8" customFormat="1" ht="15.75" customHeight="1" x14ac:dyDescent="0.15"/>
    <row r="509" s="8" customFormat="1" ht="15.75" customHeight="1" x14ac:dyDescent="0.15"/>
    <row r="510" s="8" customFormat="1" ht="15.75" customHeight="1" x14ac:dyDescent="0.15"/>
    <row r="511" s="8" customFormat="1" ht="15.75" customHeight="1" x14ac:dyDescent="0.15"/>
    <row r="512" s="8" customFormat="1" ht="15.75" customHeight="1" x14ac:dyDescent="0.15"/>
    <row r="513" s="8" customFormat="1" ht="15.75" customHeight="1" x14ac:dyDescent="0.15"/>
    <row r="514" s="8" customFormat="1" ht="15.75" customHeight="1" x14ac:dyDescent="0.15"/>
    <row r="515" s="8" customFormat="1" ht="15.75" customHeight="1" x14ac:dyDescent="0.15"/>
    <row r="516" s="8" customFormat="1" ht="15.75" customHeight="1" x14ac:dyDescent="0.15"/>
    <row r="517" s="8" customFormat="1" ht="15.75" customHeight="1" x14ac:dyDescent="0.15"/>
    <row r="518" s="8" customFormat="1" ht="15.75" customHeight="1" x14ac:dyDescent="0.15"/>
    <row r="519" s="8" customFormat="1" ht="15.75" customHeight="1" x14ac:dyDescent="0.15"/>
    <row r="520" s="8" customFormat="1" ht="15.75" customHeight="1" x14ac:dyDescent="0.15"/>
    <row r="521" s="8" customFormat="1" ht="15.75" customHeight="1" x14ac:dyDescent="0.15"/>
    <row r="522" s="8" customFormat="1" ht="15.75" customHeight="1" x14ac:dyDescent="0.15"/>
    <row r="523" s="8" customFormat="1" ht="15.75" customHeight="1" x14ac:dyDescent="0.15"/>
    <row r="524" s="8" customFormat="1" ht="15.75" customHeight="1" x14ac:dyDescent="0.15"/>
    <row r="525" s="8" customFormat="1" ht="15.75" customHeight="1" x14ac:dyDescent="0.15"/>
    <row r="526" s="8" customFormat="1" ht="15.75" customHeight="1" x14ac:dyDescent="0.15"/>
    <row r="527" s="8" customFormat="1" ht="15.75" customHeight="1" x14ac:dyDescent="0.15"/>
    <row r="528" s="8" customFormat="1" ht="15.75" customHeight="1" x14ac:dyDescent="0.15"/>
    <row r="529" s="8" customFormat="1" ht="15.75" customHeight="1" x14ac:dyDescent="0.15"/>
    <row r="530" s="8" customFormat="1" ht="15.75" customHeight="1" x14ac:dyDescent="0.15"/>
    <row r="531" s="8" customFormat="1" ht="15.75" customHeight="1" x14ac:dyDescent="0.15"/>
    <row r="532" s="8" customFormat="1" ht="15.75" customHeight="1" x14ac:dyDescent="0.15"/>
    <row r="533" s="8" customFormat="1" ht="15.75" customHeight="1" x14ac:dyDescent="0.15"/>
    <row r="534" s="8" customFormat="1" ht="15.75" customHeight="1" x14ac:dyDescent="0.15"/>
    <row r="535" s="8" customFormat="1" ht="15.75" customHeight="1" x14ac:dyDescent="0.15"/>
    <row r="536" s="8" customFormat="1" ht="15.75" customHeight="1" x14ac:dyDescent="0.15"/>
    <row r="537" s="8" customFormat="1" ht="15.75" customHeight="1" x14ac:dyDescent="0.15"/>
    <row r="538" s="8" customFormat="1" ht="15.75" customHeight="1" x14ac:dyDescent="0.15"/>
    <row r="539" s="8" customFormat="1" ht="15.75" customHeight="1" x14ac:dyDescent="0.15"/>
    <row r="540" s="8" customFormat="1" ht="15.75" customHeight="1" x14ac:dyDescent="0.15"/>
    <row r="541" s="8" customFormat="1" ht="15.75" customHeight="1" x14ac:dyDescent="0.15"/>
    <row r="542" s="8" customFormat="1" ht="15.75" customHeight="1" x14ac:dyDescent="0.15"/>
    <row r="543" s="8" customFormat="1" ht="15.75" customHeight="1" x14ac:dyDescent="0.15"/>
    <row r="544" s="8" customFormat="1" ht="15.75" customHeight="1" x14ac:dyDescent="0.15"/>
    <row r="545" s="8" customFormat="1" ht="15.75" customHeight="1" x14ac:dyDescent="0.15"/>
    <row r="546" s="8" customFormat="1" ht="15.75" customHeight="1" x14ac:dyDescent="0.15"/>
    <row r="547" s="8" customFormat="1" ht="15.75" customHeight="1" x14ac:dyDescent="0.15"/>
    <row r="548" s="8" customFormat="1" ht="15.75" customHeight="1" x14ac:dyDescent="0.15"/>
    <row r="549" s="8" customFormat="1" ht="15.75" customHeight="1" x14ac:dyDescent="0.15"/>
    <row r="550" s="8" customFormat="1" ht="15.75" customHeight="1" x14ac:dyDescent="0.15"/>
    <row r="551" s="8" customFormat="1" ht="15.75" customHeight="1" x14ac:dyDescent="0.15"/>
    <row r="552" s="8" customFormat="1" ht="15.75" customHeight="1" x14ac:dyDescent="0.15"/>
    <row r="553" s="8" customFormat="1" ht="15.75" customHeight="1" x14ac:dyDescent="0.15"/>
    <row r="554" s="8" customFormat="1" ht="15.75" customHeight="1" x14ac:dyDescent="0.15"/>
    <row r="555" s="8" customFormat="1" ht="15.75" customHeight="1" x14ac:dyDescent="0.15"/>
    <row r="556" s="8" customFormat="1" ht="15.75" customHeight="1" x14ac:dyDescent="0.15"/>
    <row r="557" s="8" customFormat="1" ht="15.75" customHeight="1" x14ac:dyDescent="0.15"/>
    <row r="558" s="8" customFormat="1" ht="15.75" customHeight="1" x14ac:dyDescent="0.15"/>
    <row r="559" s="8" customFormat="1" ht="15.75" customHeight="1" x14ac:dyDescent="0.15"/>
    <row r="560" s="8" customFormat="1" ht="15.75" customHeight="1" x14ac:dyDescent="0.15"/>
    <row r="561" s="8" customFormat="1" ht="15.75" customHeight="1" x14ac:dyDescent="0.15"/>
    <row r="562" s="8" customFormat="1" ht="15.75" customHeight="1" x14ac:dyDescent="0.15"/>
    <row r="563" s="8" customFormat="1" ht="15.75" customHeight="1" x14ac:dyDescent="0.15"/>
    <row r="564" s="8" customFormat="1" ht="15.75" customHeight="1" x14ac:dyDescent="0.15"/>
    <row r="565" s="8" customFormat="1" ht="15.75" customHeight="1" x14ac:dyDescent="0.15"/>
    <row r="566" s="8" customFormat="1" ht="15.75" customHeight="1" x14ac:dyDescent="0.15"/>
    <row r="567" s="8" customFormat="1" ht="15.75" customHeight="1" x14ac:dyDescent="0.15"/>
    <row r="568" s="8" customFormat="1" ht="15.75" customHeight="1" x14ac:dyDescent="0.15"/>
    <row r="569" s="8" customFormat="1" ht="15.75" customHeight="1" x14ac:dyDescent="0.15"/>
    <row r="570" s="8" customFormat="1" ht="15.75" customHeight="1" x14ac:dyDescent="0.15"/>
    <row r="571" s="8" customFormat="1" ht="15.75" customHeight="1" x14ac:dyDescent="0.15"/>
    <row r="572" s="8" customFormat="1" ht="15.75" customHeight="1" x14ac:dyDescent="0.15"/>
    <row r="573" s="8" customFormat="1" ht="15.75" customHeight="1" x14ac:dyDescent="0.15"/>
    <row r="574" s="8" customFormat="1" ht="15.75" customHeight="1" x14ac:dyDescent="0.15"/>
    <row r="575" s="8" customFormat="1" ht="15.75" customHeight="1" x14ac:dyDescent="0.15"/>
    <row r="576" s="8" customFormat="1" ht="15.75" customHeight="1" x14ac:dyDescent="0.15"/>
    <row r="577" s="8" customFormat="1" ht="15.75" customHeight="1" x14ac:dyDescent="0.15"/>
    <row r="578" s="8" customFormat="1" ht="15.75" customHeight="1" x14ac:dyDescent="0.15"/>
    <row r="579" s="8" customFormat="1" ht="15.75" customHeight="1" x14ac:dyDescent="0.15"/>
    <row r="580" s="8" customFormat="1" ht="15.75" customHeight="1" x14ac:dyDescent="0.15"/>
    <row r="581" s="8" customFormat="1" ht="15.75" customHeight="1" x14ac:dyDescent="0.15"/>
    <row r="582" s="8" customFormat="1" ht="15.75" customHeight="1" x14ac:dyDescent="0.15"/>
    <row r="583" s="8" customFormat="1" ht="15.75" customHeight="1" x14ac:dyDescent="0.15"/>
    <row r="584" s="8" customFormat="1" ht="15.75" customHeight="1" x14ac:dyDescent="0.15"/>
    <row r="585" s="8" customFormat="1" ht="15.75" customHeight="1" x14ac:dyDescent="0.15"/>
    <row r="586" s="8" customFormat="1" ht="15.75" customHeight="1" x14ac:dyDescent="0.15"/>
    <row r="587" s="8" customFormat="1" ht="15.75" customHeight="1" x14ac:dyDescent="0.15"/>
    <row r="588" s="8" customFormat="1" ht="15.75" customHeight="1" x14ac:dyDescent="0.15"/>
    <row r="589" s="8" customFormat="1" ht="15.75" customHeight="1" x14ac:dyDescent="0.15"/>
    <row r="590" s="8" customFormat="1" ht="15.75" customHeight="1" x14ac:dyDescent="0.15"/>
    <row r="591" s="8" customFormat="1" ht="15.75" customHeight="1" x14ac:dyDescent="0.15"/>
    <row r="592" s="8" customFormat="1" ht="15.75" customHeight="1" x14ac:dyDescent="0.15"/>
    <row r="593" s="8" customFormat="1" ht="15.75" customHeight="1" x14ac:dyDescent="0.15"/>
    <row r="594" s="8" customFormat="1" ht="15.75" customHeight="1" x14ac:dyDescent="0.15"/>
    <row r="595" s="8" customFormat="1" ht="15.75" customHeight="1" x14ac:dyDescent="0.15"/>
    <row r="596" s="8" customFormat="1" ht="15.75" customHeight="1" x14ac:dyDescent="0.15"/>
    <row r="597" s="8" customFormat="1" ht="15.75" customHeight="1" x14ac:dyDescent="0.15"/>
    <row r="598" s="8" customFormat="1" ht="15.75" customHeight="1" x14ac:dyDescent="0.15"/>
    <row r="599" s="8" customFormat="1" ht="15.75" customHeight="1" x14ac:dyDescent="0.15"/>
    <row r="600" s="8" customFormat="1" ht="15.75" customHeight="1" x14ac:dyDescent="0.15"/>
    <row r="601" s="8" customFormat="1" ht="15.75" customHeight="1" x14ac:dyDescent="0.15"/>
    <row r="602" s="8" customFormat="1" ht="15.75" customHeight="1" x14ac:dyDescent="0.15"/>
    <row r="603" s="8" customFormat="1" ht="15.75" customHeight="1" x14ac:dyDescent="0.15"/>
    <row r="604" s="8" customFormat="1" ht="15.75" customHeight="1" x14ac:dyDescent="0.15"/>
    <row r="605" s="8" customFormat="1" ht="15.75" customHeight="1" x14ac:dyDescent="0.15"/>
    <row r="606" s="8" customFormat="1" ht="15.75" customHeight="1" x14ac:dyDescent="0.15"/>
    <row r="607" s="8" customFormat="1" ht="15.75" customHeight="1" x14ac:dyDescent="0.15"/>
    <row r="608" s="8" customFormat="1" ht="15.75" customHeight="1" x14ac:dyDescent="0.15"/>
    <row r="609" s="8" customFormat="1" ht="15.75" customHeight="1" x14ac:dyDescent="0.15"/>
    <row r="610" s="8" customFormat="1" ht="15.75" customHeight="1" x14ac:dyDescent="0.15"/>
    <row r="611" s="8" customFormat="1" ht="15.75" customHeight="1" x14ac:dyDescent="0.15"/>
    <row r="612" s="8" customFormat="1" ht="15.75" customHeight="1" x14ac:dyDescent="0.15"/>
    <row r="613" s="8" customFormat="1" ht="15.75" customHeight="1" x14ac:dyDescent="0.15"/>
    <row r="614" s="8" customFormat="1" ht="15.75" customHeight="1" x14ac:dyDescent="0.15"/>
    <row r="615" s="8" customFormat="1" ht="15.75" customHeight="1" x14ac:dyDescent="0.15"/>
    <row r="616" s="8" customFormat="1" ht="15.75" customHeight="1" x14ac:dyDescent="0.15"/>
    <row r="617" s="8" customFormat="1" ht="15.75" customHeight="1" x14ac:dyDescent="0.15"/>
    <row r="618" s="8" customFormat="1" ht="15.75" customHeight="1" x14ac:dyDescent="0.15"/>
    <row r="619" s="8" customFormat="1" ht="15.75" customHeight="1" x14ac:dyDescent="0.15"/>
    <row r="620" s="8" customFormat="1" ht="15.75" customHeight="1" x14ac:dyDescent="0.15"/>
    <row r="621" s="8" customFormat="1" ht="15.75" customHeight="1" x14ac:dyDescent="0.15"/>
    <row r="622" s="8" customFormat="1" ht="15.75" customHeight="1" x14ac:dyDescent="0.15"/>
    <row r="623" s="8" customFormat="1" ht="15.75" customHeight="1" x14ac:dyDescent="0.15"/>
    <row r="624" s="8" customFormat="1" ht="15.75" customHeight="1" x14ac:dyDescent="0.15"/>
    <row r="625" s="8" customFormat="1" ht="15.75" customHeight="1" x14ac:dyDescent="0.15"/>
    <row r="626" s="8" customFormat="1" ht="15.75" customHeight="1" x14ac:dyDescent="0.15"/>
    <row r="627" s="8" customFormat="1" ht="15.75" customHeight="1" x14ac:dyDescent="0.15"/>
    <row r="628" s="8" customFormat="1" ht="15.75" customHeight="1" x14ac:dyDescent="0.15"/>
    <row r="629" s="8" customFormat="1" ht="15.75" customHeight="1" x14ac:dyDescent="0.15"/>
    <row r="630" s="8" customFormat="1" ht="15.75" customHeight="1" x14ac:dyDescent="0.15"/>
    <row r="631" s="8" customFormat="1" ht="15.75" customHeight="1" x14ac:dyDescent="0.15"/>
    <row r="632" s="8" customFormat="1" ht="15.75" customHeight="1" x14ac:dyDescent="0.15"/>
    <row r="633" s="8" customFormat="1" ht="15.75" customHeight="1" x14ac:dyDescent="0.15"/>
    <row r="634" s="8" customFormat="1" ht="15.75" customHeight="1" x14ac:dyDescent="0.15"/>
    <row r="635" s="8" customFormat="1" ht="15.75" customHeight="1" x14ac:dyDescent="0.15"/>
    <row r="636" s="8" customFormat="1" ht="15.75" customHeight="1" x14ac:dyDescent="0.15"/>
    <row r="637" s="8" customFormat="1" ht="15.75" customHeight="1" x14ac:dyDescent="0.15"/>
    <row r="638" s="8" customFormat="1" ht="15.75" customHeight="1" x14ac:dyDescent="0.15"/>
    <row r="639" s="8" customFormat="1" ht="15.75" customHeight="1" x14ac:dyDescent="0.15"/>
    <row r="640" s="8" customFormat="1" ht="15.75" customHeight="1" x14ac:dyDescent="0.15"/>
    <row r="641" s="8" customFormat="1" ht="15.75" customHeight="1" x14ac:dyDescent="0.15"/>
    <row r="642" s="8" customFormat="1" ht="15.75" customHeight="1" x14ac:dyDescent="0.15"/>
    <row r="643" s="8" customFormat="1" ht="15.75" customHeight="1" x14ac:dyDescent="0.15"/>
    <row r="644" s="8" customFormat="1" ht="15.75" customHeight="1" x14ac:dyDescent="0.15"/>
    <row r="645" s="8" customFormat="1" ht="15.75" customHeight="1" x14ac:dyDescent="0.15"/>
    <row r="646" s="8" customFormat="1" ht="15.75" customHeight="1" x14ac:dyDescent="0.15"/>
    <row r="647" s="8" customFormat="1" ht="15.75" customHeight="1" x14ac:dyDescent="0.15"/>
    <row r="648" s="8" customFormat="1" ht="15.75" customHeight="1" x14ac:dyDescent="0.15"/>
    <row r="649" s="8" customFormat="1" ht="15.75" customHeight="1" x14ac:dyDescent="0.15"/>
    <row r="650" s="8" customFormat="1" ht="15.75" customHeight="1" x14ac:dyDescent="0.15"/>
    <row r="651" s="8" customFormat="1" ht="15.75" customHeight="1" x14ac:dyDescent="0.15"/>
    <row r="652" s="8" customFormat="1" ht="15.75" customHeight="1" x14ac:dyDescent="0.15"/>
    <row r="653" s="8" customFormat="1" ht="15.75" customHeight="1" x14ac:dyDescent="0.15"/>
    <row r="654" s="8" customFormat="1" ht="15.75" customHeight="1" x14ac:dyDescent="0.15"/>
    <row r="655" s="8" customFormat="1" ht="15.75" customHeight="1" x14ac:dyDescent="0.15"/>
    <row r="656" s="8" customFormat="1" ht="15.75" customHeight="1" x14ac:dyDescent="0.15"/>
    <row r="657" s="8" customFormat="1" ht="15.75" customHeight="1" x14ac:dyDescent="0.15"/>
    <row r="658" s="8" customFormat="1" ht="15.75" customHeight="1" x14ac:dyDescent="0.15"/>
    <row r="659" s="8" customFormat="1" ht="15.75" customHeight="1" x14ac:dyDescent="0.15"/>
    <row r="660" s="8" customFormat="1" ht="15.75" customHeight="1" x14ac:dyDescent="0.15"/>
    <row r="661" s="8" customFormat="1" ht="15.75" customHeight="1" x14ac:dyDescent="0.15"/>
    <row r="662" s="8" customFormat="1" ht="15.75" customHeight="1" x14ac:dyDescent="0.15"/>
    <row r="663" s="8" customFormat="1" ht="15.75" customHeight="1" x14ac:dyDescent="0.15"/>
    <row r="664" s="8" customFormat="1" ht="15.75" customHeight="1" x14ac:dyDescent="0.15"/>
    <row r="665" s="8" customFormat="1" ht="15.75" customHeight="1" x14ac:dyDescent="0.15"/>
    <row r="666" s="8" customFormat="1" ht="15.75" customHeight="1" x14ac:dyDescent="0.15"/>
    <row r="667" s="8" customFormat="1" ht="15.75" customHeight="1" x14ac:dyDescent="0.15"/>
    <row r="668" s="8" customFormat="1" ht="15.75" customHeight="1" x14ac:dyDescent="0.15"/>
    <row r="669" s="8" customFormat="1" ht="15.75" customHeight="1" x14ac:dyDescent="0.15"/>
    <row r="670" s="8" customFormat="1" ht="15.75" customHeight="1" x14ac:dyDescent="0.15"/>
    <row r="671" s="8" customFormat="1" ht="15.75" customHeight="1" x14ac:dyDescent="0.15"/>
    <row r="672" s="8" customFormat="1" ht="15.75" customHeight="1" x14ac:dyDescent="0.15"/>
    <row r="673" s="8" customFormat="1" ht="15.75" customHeight="1" x14ac:dyDescent="0.15"/>
    <row r="674" s="8" customFormat="1" ht="15.75" customHeight="1" x14ac:dyDescent="0.15"/>
    <row r="675" s="8" customFormat="1" ht="15.75" customHeight="1" x14ac:dyDescent="0.15"/>
    <row r="676" s="8" customFormat="1" ht="15.75" customHeight="1" x14ac:dyDescent="0.15"/>
    <row r="677" s="8" customFormat="1" ht="15.75" customHeight="1" x14ac:dyDescent="0.15"/>
    <row r="678" s="8" customFormat="1" ht="15.75" customHeight="1" x14ac:dyDescent="0.15"/>
    <row r="679" s="8" customFormat="1" ht="15.75" customHeight="1" x14ac:dyDescent="0.15"/>
    <row r="680" s="8" customFormat="1" ht="15.75" customHeight="1" x14ac:dyDescent="0.15"/>
    <row r="681" s="8" customFormat="1" ht="15.75" customHeight="1" x14ac:dyDescent="0.15"/>
    <row r="682" s="8" customFormat="1" ht="15.75" customHeight="1" x14ac:dyDescent="0.15"/>
    <row r="683" s="8" customFormat="1" ht="15.75" customHeight="1" x14ac:dyDescent="0.15"/>
    <row r="684" s="8" customFormat="1" ht="15.75" customHeight="1" x14ac:dyDescent="0.15"/>
    <row r="685" s="8" customFormat="1" ht="15.75" customHeight="1" x14ac:dyDescent="0.15"/>
    <row r="686" s="8" customFormat="1" ht="15.75" customHeight="1" x14ac:dyDescent="0.15"/>
    <row r="687" s="8" customFormat="1" ht="15.75" customHeight="1" x14ac:dyDescent="0.15"/>
    <row r="688" s="8" customFormat="1" ht="15.75" customHeight="1" x14ac:dyDescent="0.15"/>
    <row r="689" s="8" customFormat="1" ht="15.75" customHeight="1" x14ac:dyDescent="0.15"/>
    <row r="690" s="8" customFormat="1" ht="15.75" customHeight="1" x14ac:dyDescent="0.15"/>
    <row r="691" s="8" customFormat="1" ht="15.75" customHeight="1" x14ac:dyDescent="0.15"/>
    <row r="692" s="8" customFormat="1" ht="15.75" customHeight="1" x14ac:dyDescent="0.15"/>
    <row r="693" s="8" customFormat="1" ht="15.75" customHeight="1" x14ac:dyDescent="0.15"/>
    <row r="694" s="8" customFormat="1" ht="15.75" customHeight="1" x14ac:dyDescent="0.15"/>
    <row r="695" s="8" customFormat="1" ht="15.75" customHeight="1" x14ac:dyDescent="0.15"/>
    <row r="696" s="8" customFormat="1" ht="15.75" customHeight="1" x14ac:dyDescent="0.15"/>
    <row r="697" s="8" customFormat="1" ht="15.75" customHeight="1" x14ac:dyDescent="0.15"/>
    <row r="698" s="8" customFormat="1" ht="15.75" customHeight="1" x14ac:dyDescent="0.15"/>
    <row r="699" s="8" customFormat="1" ht="15.75" customHeight="1" x14ac:dyDescent="0.15"/>
    <row r="700" s="8" customFormat="1" ht="15.75" customHeight="1" x14ac:dyDescent="0.15"/>
    <row r="701" s="8" customFormat="1" ht="15.75" customHeight="1" x14ac:dyDescent="0.15"/>
    <row r="702" s="8" customFormat="1" ht="15.75" customHeight="1" x14ac:dyDescent="0.15"/>
    <row r="703" s="8" customFormat="1" ht="15.75" customHeight="1" x14ac:dyDescent="0.15"/>
    <row r="704" s="8" customFormat="1" ht="15.75" customHeight="1" x14ac:dyDescent="0.15"/>
    <row r="705" s="8" customFormat="1" ht="15.75" customHeight="1" x14ac:dyDescent="0.15"/>
    <row r="706" s="8" customFormat="1" ht="15.75" customHeight="1" x14ac:dyDescent="0.15"/>
    <row r="707" s="8" customFormat="1" ht="15.75" customHeight="1" x14ac:dyDescent="0.15"/>
    <row r="708" s="8" customFormat="1" ht="15.75" customHeight="1" x14ac:dyDescent="0.15"/>
    <row r="709" s="8" customFormat="1" ht="15.75" customHeight="1" x14ac:dyDescent="0.15"/>
    <row r="710" s="8" customFormat="1" ht="15.75" customHeight="1" x14ac:dyDescent="0.15"/>
    <row r="711" s="8" customFormat="1" ht="15.75" customHeight="1" x14ac:dyDescent="0.15"/>
    <row r="712" s="8" customFormat="1" ht="15.75" customHeight="1" x14ac:dyDescent="0.15"/>
    <row r="713" s="8" customFormat="1" ht="15.75" customHeight="1" x14ac:dyDescent="0.15"/>
    <row r="714" s="8" customFormat="1" ht="15.75" customHeight="1" x14ac:dyDescent="0.15"/>
    <row r="715" s="8" customFormat="1" ht="15.75" customHeight="1" x14ac:dyDescent="0.15"/>
    <row r="716" s="8" customFormat="1" ht="15.75" customHeight="1" x14ac:dyDescent="0.15"/>
    <row r="717" s="8" customFormat="1" ht="15.75" customHeight="1" x14ac:dyDescent="0.15"/>
    <row r="718" s="8" customFormat="1" ht="15.75" customHeight="1" x14ac:dyDescent="0.15"/>
    <row r="719" s="8" customFormat="1" ht="15.75" customHeight="1" x14ac:dyDescent="0.15"/>
    <row r="720" s="8" customFormat="1" ht="15.75" customHeight="1" x14ac:dyDescent="0.15"/>
    <row r="721" s="8" customFormat="1" ht="15.75" customHeight="1" x14ac:dyDescent="0.15"/>
    <row r="722" s="8" customFormat="1" ht="15.75" customHeight="1" x14ac:dyDescent="0.15"/>
    <row r="723" s="8" customFormat="1" ht="15.75" customHeight="1" x14ac:dyDescent="0.15"/>
    <row r="724" s="8" customFormat="1" ht="15.75" customHeight="1" x14ac:dyDescent="0.15"/>
    <row r="725" s="8" customFormat="1" ht="15.75" customHeight="1" x14ac:dyDescent="0.15"/>
    <row r="726" s="8" customFormat="1" ht="15.75" customHeight="1" x14ac:dyDescent="0.15"/>
    <row r="727" s="8" customFormat="1" ht="15.75" customHeight="1" x14ac:dyDescent="0.15"/>
    <row r="728" s="8" customFormat="1" ht="15.75" customHeight="1" x14ac:dyDescent="0.15"/>
    <row r="729" s="8" customFormat="1" ht="15.75" customHeight="1" x14ac:dyDescent="0.15"/>
    <row r="730" s="8" customFormat="1" ht="15.75" customHeight="1" x14ac:dyDescent="0.15"/>
    <row r="731" s="8" customFormat="1" ht="15.75" customHeight="1" x14ac:dyDescent="0.15"/>
    <row r="732" s="8" customFormat="1" ht="15.75" customHeight="1" x14ac:dyDescent="0.15"/>
    <row r="733" s="8" customFormat="1" ht="15.75" customHeight="1" x14ac:dyDescent="0.15"/>
    <row r="734" s="8" customFormat="1" ht="15.75" customHeight="1" x14ac:dyDescent="0.15"/>
    <row r="735" s="8" customFormat="1" ht="15.75" customHeight="1" x14ac:dyDescent="0.15"/>
    <row r="736" s="8" customFormat="1" ht="15.75" customHeight="1" x14ac:dyDescent="0.15"/>
    <row r="737" s="8" customFormat="1" ht="15.75" customHeight="1" x14ac:dyDescent="0.15"/>
    <row r="738" s="8" customFormat="1" ht="15.75" customHeight="1" x14ac:dyDescent="0.15"/>
    <row r="739" s="8" customFormat="1" ht="15.75" customHeight="1" x14ac:dyDescent="0.15"/>
    <row r="740" s="8" customFormat="1" ht="15.75" customHeight="1" x14ac:dyDescent="0.15"/>
    <row r="741" s="8" customFormat="1" ht="15.75" customHeight="1" x14ac:dyDescent="0.15"/>
    <row r="742" s="8" customFormat="1" ht="15.75" customHeight="1" x14ac:dyDescent="0.15"/>
    <row r="743" s="8" customFormat="1" ht="15.75" customHeight="1" x14ac:dyDescent="0.15"/>
    <row r="744" s="8" customFormat="1" ht="15.75" customHeight="1" x14ac:dyDescent="0.15"/>
    <row r="745" s="8" customFormat="1" ht="15.75" customHeight="1" x14ac:dyDescent="0.15"/>
    <row r="746" s="8" customFormat="1" ht="15.75" customHeight="1" x14ac:dyDescent="0.15"/>
    <row r="747" s="8" customFormat="1" ht="15.75" customHeight="1" x14ac:dyDescent="0.15"/>
    <row r="748" s="8" customFormat="1" ht="15.75" customHeight="1" x14ac:dyDescent="0.15"/>
    <row r="749" s="8" customFormat="1" ht="15.75" customHeight="1" x14ac:dyDescent="0.15"/>
    <row r="750" s="8" customFormat="1" ht="15.75" customHeight="1" x14ac:dyDescent="0.15"/>
    <row r="751" s="8" customFormat="1" ht="15.75" customHeight="1" x14ac:dyDescent="0.15"/>
    <row r="752" s="8" customFormat="1" ht="15.75" customHeight="1" x14ac:dyDescent="0.15"/>
    <row r="753" s="8" customFormat="1" ht="15.75" customHeight="1" x14ac:dyDescent="0.15"/>
    <row r="754" s="8" customFormat="1" ht="15.75" customHeight="1" x14ac:dyDescent="0.15"/>
    <row r="755" s="8" customFormat="1" ht="15.75" customHeight="1" x14ac:dyDescent="0.15"/>
    <row r="756" s="8" customFormat="1" ht="15.75" customHeight="1" x14ac:dyDescent="0.15"/>
    <row r="757" s="8" customFormat="1" ht="15.75" customHeight="1" x14ac:dyDescent="0.15"/>
    <row r="758" s="8" customFormat="1" ht="15.75" customHeight="1" x14ac:dyDescent="0.15"/>
    <row r="759" s="8" customFormat="1" ht="15.75" customHeight="1" x14ac:dyDescent="0.15"/>
    <row r="760" s="8" customFormat="1" ht="15.75" customHeight="1" x14ac:dyDescent="0.15"/>
    <row r="761" s="8" customFormat="1" ht="15.75" customHeight="1" x14ac:dyDescent="0.15"/>
    <row r="762" s="8" customFormat="1" ht="15.75" customHeight="1" x14ac:dyDescent="0.15"/>
    <row r="763" s="8" customFormat="1" ht="15.75" customHeight="1" x14ac:dyDescent="0.15"/>
    <row r="764" s="8" customFormat="1" ht="15.75" customHeight="1" x14ac:dyDescent="0.15"/>
    <row r="765" s="8" customFormat="1" ht="15.75" customHeight="1" x14ac:dyDescent="0.15"/>
    <row r="766" s="8" customFormat="1" ht="15.75" customHeight="1" x14ac:dyDescent="0.15"/>
    <row r="767" s="8" customFormat="1" ht="15.75" customHeight="1" x14ac:dyDescent="0.15"/>
    <row r="768" s="8" customFormat="1" ht="15.75" customHeight="1" x14ac:dyDescent="0.15"/>
    <row r="769" s="8" customFormat="1" ht="15.75" customHeight="1" x14ac:dyDescent="0.15"/>
    <row r="770" s="8" customFormat="1" ht="15.75" customHeight="1" x14ac:dyDescent="0.15"/>
    <row r="771" s="8" customFormat="1" ht="15.75" customHeight="1" x14ac:dyDescent="0.15"/>
    <row r="772" s="8" customFormat="1" ht="15.75" customHeight="1" x14ac:dyDescent="0.15"/>
    <row r="773" s="8" customFormat="1" ht="15.75" customHeight="1" x14ac:dyDescent="0.15"/>
    <row r="774" s="8" customFormat="1" ht="15.75" customHeight="1" x14ac:dyDescent="0.15"/>
    <row r="775" s="8" customFormat="1" ht="15.75" customHeight="1" x14ac:dyDescent="0.15"/>
    <row r="776" s="8" customFormat="1" ht="15.75" customHeight="1" x14ac:dyDescent="0.15"/>
    <row r="777" s="8" customFormat="1" ht="15.75" customHeight="1" x14ac:dyDescent="0.15"/>
    <row r="778" s="8" customFormat="1" ht="15.75" customHeight="1" x14ac:dyDescent="0.15"/>
    <row r="779" s="8" customFormat="1" ht="15.75" customHeight="1" x14ac:dyDescent="0.15"/>
    <row r="780" s="8" customFormat="1" ht="15.75" customHeight="1" x14ac:dyDescent="0.15"/>
    <row r="781" s="8" customFormat="1" ht="15.75" customHeight="1" x14ac:dyDescent="0.15"/>
    <row r="782" s="8" customFormat="1" ht="15.75" customHeight="1" x14ac:dyDescent="0.15"/>
    <row r="783" s="8" customFormat="1" ht="15.75" customHeight="1" x14ac:dyDescent="0.15"/>
    <row r="784" s="8" customFormat="1" ht="15.75" customHeight="1" x14ac:dyDescent="0.15"/>
    <row r="785" s="8" customFormat="1" ht="15.75" customHeight="1" x14ac:dyDescent="0.15"/>
    <row r="786" s="8" customFormat="1" ht="15.75" customHeight="1" x14ac:dyDescent="0.15"/>
    <row r="787" s="8" customFormat="1" ht="15.75" customHeight="1" x14ac:dyDescent="0.15"/>
    <row r="788" s="8" customFormat="1" ht="15.75" customHeight="1" x14ac:dyDescent="0.15"/>
    <row r="789" s="8" customFormat="1" ht="15.75" customHeight="1" x14ac:dyDescent="0.15"/>
    <row r="790" s="8" customFormat="1" ht="15.75" customHeight="1" x14ac:dyDescent="0.15"/>
    <row r="791" s="8" customFormat="1" ht="15.75" customHeight="1" x14ac:dyDescent="0.15"/>
    <row r="792" s="8" customFormat="1" ht="15.75" customHeight="1" x14ac:dyDescent="0.15"/>
    <row r="793" s="8" customFormat="1" ht="15.75" customHeight="1" x14ac:dyDescent="0.15"/>
    <row r="794" s="8" customFormat="1" ht="15.75" customHeight="1" x14ac:dyDescent="0.15"/>
    <row r="795" s="8" customFormat="1" ht="15.75" customHeight="1" x14ac:dyDescent="0.15"/>
    <row r="796" s="8" customFormat="1" ht="15.75" customHeight="1" x14ac:dyDescent="0.15"/>
    <row r="797" s="8" customFormat="1" ht="15.75" customHeight="1" x14ac:dyDescent="0.15"/>
    <row r="798" s="8" customFormat="1" ht="15.75" customHeight="1" x14ac:dyDescent="0.15"/>
    <row r="799" s="8" customFormat="1" ht="15.75" customHeight="1" x14ac:dyDescent="0.15"/>
    <row r="800" s="8" customFormat="1" ht="15.75" customHeight="1" x14ac:dyDescent="0.15"/>
    <row r="801" s="8" customFormat="1" ht="15.75" customHeight="1" x14ac:dyDescent="0.15"/>
    <row r="802" s="8" customFormat="1" ht="15.75" customHeight="1" x14ac:dyDescent="0.15"/>
    <row r="803" s="8" customFormat="1" ht="15.75" customHeight="1" x14ac:dyDescent="0.15"/>
    <row r="804" s="8" customFormat="1" ht="15.75" customHeight="1" x14ac:dyDescent="0.15"/>
    <row r="805" s="8" customFormat="1" ht="15.75" customHeight="1" x14ac:dyDescent="0.15"/>
    <row r="806" s="8" customFormat="1" ht="15.75" customHeight="1" x14ac:dyDescent="0.15"/>
    <row r="807" s="8" customFormat="1" ht="15.75" customHeight="1" x14ac:dyDescent="0.15"/>
    <row r="808" s="8" customFormat="1" ht="15.75" customHeight="1" x14ac:dyDescent="0.15"/>
    <row r="809" s="8" customFormat="1" ht="15.75" customHeight="1" x14ac:dyDescent="0.15"/>
    <row r="810" s="8" customFormat="1" ht="15.75" customHeight="1" x14ac:dyDescent="0.15"/>
    <row r="811" s="8" customFormat="1" ht="15.75" customHeight="1" x14ac:dyDescent="0.15"/>
    <row r="812" s="8" customFormat="1" ht="15.75" customHeight="1" x14ac:dyDescent="0.15"/>
    <row r="813" s="8" customFormat="1" ht="15.75" customHeight="1" x14ac:dyDescent="0.15"/>
    <row r="814" s="8" customFormat="1" ht="15.75" customHeight="1" x14ac:dyDescent="0.15"/>
    <row r="815" s="8" customFormat="1" ht="15.75" customHeight="1" x14ac:dyDescent="0.15"/>
    <row r="816" s="8" customFormat="1" ht="15.75" customHeight="1" x14ac:dyDescent="0.15"/>
    <row r="817" s="8" customFormat="1" ht="15.75" customHeight="1" x14ac:dyDescent="0.15"/>
    <row r="818" s="8" customFormat="1" ht="15.75" customHeight="1" x14ac:dyDescent="0.15"/>
    <row r="819" s="8" customFormat="1" ht="15.75" customHeight="1" x14ac:dyDescent="0.15"/>
    <row r="820" s="8" customFormat="1" ht="15.75" customHeight="1" x14ac:dyDescent="0.15"/>
    <row r="821" s="8" customFormat="1" ht="15.75" customHeight="1" x14ac:dyDescent="0.15"/>
    <row r="822" s="8" customFormat="1" ht="15.75" customHeight="1" x14ac:dyDescent="0.15"/>
    <row r="823" s="8" customFormat="1" ht="15.75" customHeight="1" x14ac:dyDescent="0.15"/>
    <row r="824" s="8" customFormat="1" ht="15.75" customHeight="1" x14ac:dyDescent="0.15"/>
    <row r="825" s="8" customFormat="1" ht="15.75" customHeight="1" x14ac:dyDescent="0.15"/>
    <row r="826" s="8" customFormat="1" ht="15.75" customHeight="1" x14ac:dyDescent="0.15"/>
    <row r="827" s="8" customFormat="1" ht="15.75" customHeight="1" x14ac:dyDescent="0.15"/>
    <row r="828" s="8" customFormat="1" ht="15.75" customHeight="1" x14ac:dyDescent="0.15"/>
    <row r="829" s="8" customFormat="1" ht="15.75" customHeight="1" x14ac:dyDescent="0.15"/>
    <row r="830" s="8" customFormat="1" ht="15.75" customHeight="1" x14ac:dyDescent="0.15"/>
    <row r="831" s="8" customFormat="1" ht="15.75" customHeight="1" x14ac:dyDescent="0.15"/>
    <row r="832" s="8" customFormat="1" ht="15.75" customHeight="1" x14ac:dyDescent="0.15"/>
    <row r="833" s="8" customFormat="1" ht="15.75" customHeight="1" x14ac:dyDescent="0.15"/>
    <row r="834" s="8" customFormat="1" ht="15.75" customHeight="1" x14ac:dyDescent="0.15"/>
    <row r="835" s="8" customFormat="1" ht="15.75" customHeight="1" x14ac:dyDescent="0.15"/>
    <row r="836" s="8" customFormat="1" ht="15.75" customHeight="1" x14ac:dyDescent="0.15"/>
    <row r="837" s="8" customFormat="1" ht="15.75" customHeight="1" x14ac:dyDescent="0.15"/>
    <row r="838" s="8" customFormat="1" ht="15.75" customHeight="1" x14ac:dyDescent="0.15"/>
    <row r="839" s="8" customFormat="1" ht="15.75" customHeight="1" x14ac:dyDescent="0.15"/>
    <row r="840" s="8" customFormat="1" ht="15.75" customHeight="1" x14ac:dyDescent="0.15"/>
    <row r="841" s="8" customFormat="1" ht="15.75" customHeight="1" x14ac:dyDescent="0.15"/>
    <row r="842" s="8" customFormat="1" ht="15.75" customHeight="1" x14ac:dyDescent="0.15"/>
    <row r="843" s="8" customFormat="1" ht="15.75" customHeight="1" x14ac:dyDescent="0.15"/>
    <row r="844" s="8" customFormat="1" ht="15.75" customHeight="1" x14ac:dyDescent="0.15"/>
    <row r="845" s="8" customFormat="1" ht="15.75" customHeight="1" x14ac:dyDescent="0.15"/>
    <row r="846" s="8" customFormat="1" ht="15.75" customHeight="1" x14ac:dyDescent="0.15"/>
    <row r="847" s="8" customFormat="1" ht="15.75" customHeight="1" x14ac:dyDescent="0.15"/>
    <row r="848" s="8" customFormat="1" ht="15.75" customHeight="1" x14ac:dyDescent="0.15"/>
    <row r="849" s="8" customFormat="1" ht="15.75" customHeight="1" x14ac:dyDescent="0.15"/>
    <row r="850" s="8" customFormat="1" ht="15.75" customHeight="1" x14ac:dyDescent="0.15"/>
    <row r="851" s="8" customFormat="1" ht="15.75" customHeight="1" x14ac:dyDescent="0.15"/>
    <row r="852" s="8" customFormat="1" ht="15.75" customHeight="1" x14ac:dyDescent="0.15"/>
    <row r="853" s="8" customFormat="1" ht="15.75" customHeight="1" x14ac:dyDescent="0.15"/>
    <row r="854" s="8" customFormat="1" ht="15.75" customHeight="1" x14ac:dyDescent="0.15"/>
    <row r="855" s="8" customFormat="1" ht="15.75" customHeight="1" x14ac:dyDescent="0.15"/>
    <row r="856" s="8" customFormat="1" ht="15.75" customHeight="1" x14ac:dyDescent="0.15"/>
    <row r="857" s="8" customFormat="1" ht="15.75" customHeight="1" x14ac:dyDescent="0.15"/>
    <row r="858" s="8" customFormat="1" ht="15.75" customHeight="1" x14ac:dyDescent="0.15"/>
    <row r="859" s="8" customFormat="1" ht="15.75" customHeight="1" x14ac:dyDescent="0.15"/>
    <row r="860" s="8" customFormat="1" ht="15.75" customHeight="1" x14ac:dyDescent="0.15"/>
    <row r="861" s="8" customFormat="1" ht="15.75" customHeight="1" x14ac:dyDescent="0.15"/>
    <row r="862" s="8" customFormat="1" ht="15.75" customHeight="1" x14ac:dyDescent="0.15"/>
    <row r="863" s="8" customFormat="1" ht="15.75" customHeight="1" x14ac:dyDescent="0.15"/>
    <row r="864" s="8" customFormat="1" ht="15.75" customHeight="1" x14ac:dyDescent="0.15"/>
    <row r="865" s="8" customFormat="1" ht="15.75" customHeight="1" x14ac:dyDescent="0.15"/>
    <row r="866" s="8" customFormat="1" ht="15.75" customHeight="1" x14ac:dyDescent="0.15"/>
    <row r="867" s="8" customFormat="1" ht="15.75" customHeight="1" x14ac:dyDescent="0.15"/>
    <row r="868" s="8" customFormat="1" ht="15.75" customHeight="1" x14ac:dyDescent="0.15"/>
    <row r="869" s="8" customFormat="1" ht="15.75" customHeight="1" x14ac:dyDescent="0.15"/>
    <row r="870" s="8" customFormat="1" ht="15.75" customHeight="1" x14ac:dyDescent="0.15"/>
    <row r="871" s="8" customFormat="1" ht="15.75" customHeight="1" x14ac:dyDescent="0.15"/>
    <row r="872" s="8" customFormat="1" ht="15.75" customHeight="1" x14ac:dyDescent="0.15"/>
    <row r="873" s="8" customFormat="1" ht="15.75" customHeight="1" x14ac:dyDescent="0.15"/>
    <row r="874" s="8" customFormat="1" ht="15.75" customHeight="1" x14ac:dyDescent="0.15"/>
    <row r="875" s="8" customFormat="1" ht="15.75" customHeight="1" x14ac:dyDescent="0.15"/>
    <row r="876" s="8" customFormat="1" ht="15.75" customHeight="1" x14ac:dyDescent="0.15"/>
    <row r="877" s="8" customFormat="1" ht="15.75" customHeight="1" x14ac:dyDescent="0.15"/>
    <row r="878" s="8" customFormat="1" ht="15.75" customHeight="1" x14ac:dyDescent="0.15"/>
    <row r="879" s="8" customFormat="1" ht="15.75" customHeight="1" x14ac:dyDescent="0.15"/>
    <row r="880" s="8" customFormat="1" ht="15.75" customHeight="1" x14ac:dyDescent="0.15"/>
    <row r="881" s="8" customFormat="1" ht="15.75" customHeight="1" x14ac:dyDescent="0.15"/>
    <row r="882" s="8" customFormat="1" ht="15.75" customHeight="1" x14ac:dyDescent="0.15"/>
    <row r="883" s="8" customFormat="1" ht="15.75" customHeight="1" x14ac:dyDescent="0.15"/>
    <row r="884" s="8" customFormat="1" ht="15.75" customHeight="1" x14ac:dyDescent="0.15"/>
    <row r="885" s="8" customFormat="1" ht="15.75" customHeight="1" x14ac:dyDescent="0.15"/>
    <row r="886" s="8" customFormat="1" ht="15.75" customHeight="1" x14ac:dyDescent="0.15"/>
    <row r="887" s="8" customFormat="1" ht="15.75" customHeight="1" x14ac:dyDescent="0.15"/>
    <row r="888" s="8" customFormat="1" ht="15.75" customHeight="1" x14ac:dyDescent="0.15"/>
    <row r="889" s="8" customFormat="1" ht="15.75" customHeight="1" x14ac:dyDescent="0.15"/>
    <row r="890" s="8" customFormat="1" ht="15.75" customHeight="1" x14ac:dyDescent="0.15"/>
    <row r="891" s="8" customFormat="1" ht="15.75" customHeight="1" x14ac:dyDescent="0.15"/>
    <row r="892" s="8" customFormat="1" ht="15.75" customHeight="1" x14ac:dyDescent="0.15"/>
    <row r="893" s="8" customFormat="1" ht="15.75" customHeight="1" x14ac:dyDescent="0.15"/>
    <row r="894" s="8" customFormat="1" ht="15.75" customHeight="1" x14ac:dyDescent="0.15"/>
    <row r="895" s="8" customFormat="1" ht="15.75" customHeight="1" x14ac:dyDescent="0.15"/>
    <row r="896" s="8" customFormat="1" ht="15.75" customHeight="1" x14ac:dyDescent="0.15"/>
    <row r="897" s="8" customFormat="1" ht="15.75" customHeight="1" x14ac:dyDescent="0.15"/>
    <row r="898" s="8" customFormat="1" ht="15.75" customHeight="1" x14ac:dyDescent="0.15"/>
    <row r="899" s="8" customFormat="1" ht="15.75" customHeight="1" x14ac:dyDescent="0.15"/>
    <row r="900" s="8" customFormat="1" ht="15.75" customHeight="1" x14ac:dyDescent="0.15"/>
    <row r="901" s="8" customFormat="1" ht="15.75" customHeight="1" x14ac:dyDescent="0.15"/>
    <row r="902" s="8" customFormat="1" ht="15.75" customHeight="1" x14ac:dyDescent="0.15"/>
    <row r="903" s="8" customFormat="1" ht="15.75" customHeight="1" x14ac:dyDescent="0.15"/>
    <row r="904" s="8" customFormat="1" ht="15.75" customHeight="1" x14ac:dyDescent="0.15"/>
    <row r="905" s="8" customFormat="1" ht="15.75" customHeight="1" x14ac:dyDescent="0.15"/>
    <row r="906" s="8" customFormat="1" ht="15.75" customHeight="1" x14ac:dyDescent="0.15"/>
    <row r="907" s="8" customFormat="1" ht="15.75" customHeight="1" x14ac:dyDescent="0.15"/>
    <row r="908" s="8" customFormat="1" ht="15.75" customHeight="1" x14ac:dyDescent="0.15"/>
    <row r="909" s="8" customFormat="1" ht="15.75" customHeight="1" x14ac:dyDescent="0.15"/>
    <row r="910" s="8" customFormat="1" ht="15.75" customHeight="1" x14ac:dyDescent="0.15"/>
    <row r="911" s="8" customFormat="1" ht="15.75" customHeight="1" x14ac:dyDescent="0.15"/>
    <row r="912" s="8" customFormat="1" ht="15.75" customHeight="1" x14ac:dyDescent="0.15"/>
    <row r="913" s="8" customFormat="1" ht="15.75" customHeight="1" x14ac:dyDescent="0.15"/>
    <row r="914" s="8" customFormat="1" ht="15.75" customHeight="1" x14ac:dyDescent="0.15"/>
    <row r="915" s="8" customFormat="1" ht="15.75" customHeight="1" x14ac:dyDescent="0.15"/>
    <row r="916" s="8" customFormat="1" ht="15.75" customHeight="1" x14ac:dyDescent="0.15"/>
    <row r="917" s="8" customFormat="1" ht="15.75" customHeight="1" x14ac:dyDescent="0.15"/>
    <row r="918" s="8" customFormat="1" ht="15.75" customHeight="1" x14ac:dyDescent="0.15"/>
    <row r="919" s="8" customFormat="1" ht="15.75" customHeight="1" x14ac:dyDescent="0.15"/>
    <row r="920" s="8" customFormat="1" ht="15.75" customHeight="1" x14ac:dyDescent="0.15"/>
    <row r="921" s="8" customFormat="1" ht="15.75" customHeight="1" x14ac:dyDescent="0.15"/>
    <row r="922" s="8" customFormat="1" ht="15.75" customHeight="1" x14ac:dyDescent="0.15"/>
    <row r="923" s="8" customFormat="1" ht="15.75" customHeight="1" x14ac:dyDescent="0.15"/>
    <row r="924" s="8" customFormat="1" ht="15.75" customHeight="1" x14ac:dyDescent="0.15"/>
    <row r="925" s="8" customFormat="1" ht="15.75" customHeight="1" x14ac:dyDescent="0.15"/>
    <row r="926" s="8" customFormat="1" ht="15.75" customHeight="1" x14ac:dyDescent="0.15"/>
    <row r="927" s="8" customFormat="1" ht="15.75" customHeight="1" x14ac:dyDescent="0.15"/>
    <row r="928" s="8" customFormat="1" ht="15.75" customHeight="1" x14ac:dyDescent="0.15"/>
    <row r="929" s="8" customFormat="1" ht="15.75" customHeight="1" x14ac:dyDescent="0.15"/>
    <row r="930" s="8" customFormat="1" ht="15.75" customHeight="1" x14ac:dyDescent="0.15"/>
    <row r="931" s="8" customFormat="1" ht="15.75" customHeight="1" x14ac:dyDescent="0.15"/>
    <row r="932" s="8" customFormat="1" ht="15.75" customHeight="1" x14ac:dyDescent="0.15"/>
    <row r="933" s="8" customFormat="1" ht="15.75" customHeight="1" x14ac:dyDescent="0.15"/>
    <row r="934" s="8" customFormat="1" ht="15.75" customHeight="1" x14ac:dyDescent="0.15"/>
    <row r="935" s="8" customFormat="1" ht="15.75" customHeight="1" x14ac:dyDescent="0.15"/>
    <row r="936" s="8" customFormat="1" ht="15.75" customHeight="1" x14ac:dyDescent="0.15"/>
    <row r="937" s="8" customFormat="1" ht="15.75" customHeight="1" x14ac:dyDescent="0.15"/>
    <row r="938" s="8" customFormat="1" ht="15.75" customHeight="1" x14ac:dyDescent="0.15"/>
    <row r="939" s="8" customFormat="1" ht="15.75" customHeight="1" x14ac:dyDescent="0.15"/>
    <row r="940" s="8" customFormat="1" ht="15.75" customHeight="1" x14ac:dyDescent="0.15"/>
    <row r="941" s="8" customFormat="1" ht="15.75" customHeight="1" x14ac:dyDescent="0.15"/>
    <row r="942" s="8" customFormat="1" ht="15.75" customHeight="1" x14ac:dyDescent="0.15"/>
    <row r="943" s="8" customFormat="1" ht="15.75" customHeight="1" x14ac:dyDescent="0.15"/>
    <row r="944" s="8" customFormat="1" ht="15.75" customHeight="1" x14ac:dyDescent="0.15"/>
    <row r="945" s="8" customFormat="1" ht="15.75" customHeight="1" x14ac:dyDescent="0.15"/>
    <row r="946" s="8" customFormat="1" ht="15.75" customHeight="1" x14ac:dyDescent="0.15"/>
    <row r="947" s="8" customFormat="1" ht="15.75" customHeight="1" x14ac:dyDescent="0.15"/>
    <row r="948" s="8" customFormat="1" ht="15.75" customHeight="1" x14ac:dyDescent="0.15"/>
    <row r="949" s="8" customFormat="1" ht="15.75" customHeight="1" x14ac:dyDescent="0.15"/>
    <row r="950" s="8" customFormat="1" ht="15.75" customHeight="1" x14ac:dyDescent="0.15"/>
    <row r="951" s="8" customFormat="1" ht="15.75" customHeight="1" x14ac:dyDescent="0.15"/>
    <row r="952" s="8" customFormat="1" ht="15.75" customHeight="1" x14ac:dyDescent="0.15"/>
    <row r="953" s="8" customFormat="1" ht="15.75" customHeight="1" x14ac:dyDescent="0.15"/>
    <row r="954" s="8" customFormat="1" ht="15.75" customHeight="1" x14ac:dyDescent="0.15"/>
    <row r="955" s="8" customFormat="1" ht="15.75" customHeight="1" x14ac:dyDescent="0.15"/>
    <row r="956" s="8" customFormat="1" ht="15.75" customHeight="1" x14ac:dyDescent="0.15"/>
    <row r="957" s="8" customFormat="1" ht="15.75" customHeight="1" x14ac:dyDescent="0.15"/>
    <row r="958" s="8" customFormat="1" ht="15.75" customHeight="1" x14ac:dyDescent="0.15"/>
    <row r="959" s="8" customFormat="1" ht="15.75" customHeight="1" x14ac:dyDescent="0.15"/>
    <row r="960" s="8" customFormat="1" ht="15.75" customHeight="1" x14ac:dyDescent="0.15"/>
    <row r="961" s="8" customFormat="1" ht="15.75" customHeight="1" x14ac:dyDescent="0.15"/>
    <row r="962" s="8" customFormat="1" ht="15.75" customHeight="1" x14ac:dyDescent="0.15"/>
    <row r="963" s="8" customFormat="1" ht="15.75" customHeight="1" x14ac:dyDescent="0.15"/>
    <row r="964" s="8" customFormat="1" ht="15.75" customHeight="1" x14ac:dyDescent="0.15"/>
    <row r="965" s="8" customFormat="1" ht="15.75" customHeight="1" x14ac:dyDescent="0.15"/>
    <row r="966" s="8" customFormat="1" ht="15.75" customHeight="1" x14ac:dyDescent="0.15"/>
    <row r="967" s="8" customFormat="1" ht="15.75" customHeight="1" x14ac:dyDescent="0.15"/>
    <row r="968" s="8" customFormat="1" ht="15.75" customHeight="1" x14ac:dyDescent="0.15"/>
    <row r="969" s="8" customFormat="1" ht="15.75" customHeight="1" x14ac:dyDescent="0.15"/>
    <row r="970" s="8" customFormat="1" ht="15.75" customHeight="1" x14ac:dyDescent="0.15"/>
    <row r="971" s="8" customFormat="1" ht="15.75" customHeight="1" x14ac:dyDescent="0.15"/>
    <row r="972" s="8" customFormat="1" ht="15.75" customHeight="1" x14ac:dyDescent="0.15"/>
    <row r="973" s="8" customFormat="1" ht="15.75" customHeight="1" x14ac:dyDescent="0.15"/>
    <row r="974" s="8" customFormat="1" ht="15.75" customHeight="1" x14ac:dyDescent="0.15"/>
    <row r="975" s="8" customFormat="1" ht="15.75" customHeight="1" x14ac:dyDescent="0.15"/>
    <row r="976" s="8" customFormat="1" ht="15.75" customHeight="1" x14ac:dyDescent="0.15"/>
    <row r="977" s="8" customFormat="1" ht="15.75" customHeight="1" x14ac:dyDescent="0.15"/>
    <row r="978" s="8" customFormat="1" ht="15.75" customHeight="1" x14ac:dyDescent="0.15"/>
    <row r="979" s="8" customFormat="1" ht="15.75" customHeight="1" x14ac:dyDescent="0.15"/>
    <row r="980" s="8" customFormat="1" ht="15.75" customHeight="1" x14ac:dyDescent="0.15"/>
    <row r="981" s="8" customFormat="1" ht="15.75" customHeight="1" x14ac:dyDescent="0.15"/>
    <row r="982" s="8" customFormat="1" ht="15.75" customHeight="1" x14ac:dyDescent="0.15"/>
    <row r="983" s="8" customFormat="1" ht="15.75" customHeight="1" x14ac:dyDescent="0.15"/>
    <row r="984" s="8" customFormat="1" ht="15.75" customHeight="1" x14ac:dyDescent="0.15"/>
    <row r="985" s="8" customFormat="1" ht="15.75" customHeight="1" x14ac:dyDescent="0.15"/>
    <row r="986" s="8" customFormat="1" ht="15.75" customHeight="1" x14ac:dyDescent="0.15"/>
    <row r="987" s="8" customFormat="1" ht="15.75" customHeight="1" x14ac:dyDescent="0.15"/>
    <row r="988" s="8" customFormat="1" ht="15.75" customHeight="1" x14ac:dyDescent="0.15"/>
    <row r="989" s="8" customFormat="1" ht="15.75" customHeight="1" x14ac:dyDescent="0.15"/>
    <row r="990" s="8" customFormat="1" ht="15.75" customHeight="1" x14ac:dyDescent="0.15"/>
    <row r="991" s="8" customFormat="1" ht="15.75" customHeight="1" x14ac:dyDescent="0.15"/>
    <row r="992" s="8" customFormat="1" ht="15.75" customHeight="1" x14ac:dyDescent="0.15"/>
    <row r="993" s="8" customFormat="1" ht="15.75" customHeight="1" x14ac:dyDescent="0.15"/>
    <row r="994" s="8" customFormat="1" ht="15.75" customHeight="1" x14ac:dyDescent="0.15"/>
    <row r="995" s="8" customFormat="1" ht="15.75" customHeight="1" x14ac:dyDescent="0.15"/>
  </sheetData>
  <pageMargins left="0.7" right="0.7" top="0.75" bottom="0.75" header="0" footer="0"/>
  <pageSetup orientation="portrait"/>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C6E67-E382-3142-A4CD-7896291B4223}">
  <sheetPr>
    <tabColor rgb="FF004077"/>
  </sheetPr>
  <dimension ref="A1:AG989"/>
  <sheetViews>
    <sheetView showGridLines="0" zoomScaleNormal="100" workbookViewId="0">
      <pane xSplit="1" topLeftCell="B1" activePane="topRight" state="frozen"/>
      <selection activeCell="O24" sqref="O24"/>
      <selection pane="topRight" activeCell="A20" sqref="A20"/>
    </sheetView>
  </sheetViews>
  <sheetFormatPr baseColWidth="10" defaultColWidth="12.5" defaultRowHeight="15" customHeight="1" x14ac:dyDescent="0.15"/>
  <cols>
    <col min="1" max="1" width="49.83203125" style="8" customWidth="1"/>
    <col min="2" max="3" width="14" style="8" customWidth="1"/>
    <col min="4" max="4" width="15.1640625" style="8" customWidth="1"/>
    <col min="5" max="5" width="11.83203125" style="8" customWidth="1"/>
    <col min="6" max="6" width="14" style="8" customWidth="1"/>
    <col min="7" max="7" width="12.1640625" style="8" customWidth="1"/>
    <col min="8" max="8" width="12.5" style="8" customWidth="1"/>
    <col min="9" max="9" width="14" style="8" customWidth="1"/>
    <col min="10" max="11" width="12.6640625" style="8" customWidth="1"/>
    <col min="12" max="12" width="16.33203125" style="8" customWidth="1"/>
    <col min="13" max="15" width="14" style="8" customWidth="1"/>
    <col min="16" max="16" width="15" style="8" customWidth="1"/>
    <col min="17" max="18" width="14" style="8" customWidth="1"/>
    <col min="19" max="19" width="13.83203125" style="8" customWidth="1"/>
    <col min="20" max="20" width="12.6640625" style="8" customWidth="1"/>
    <col min="21" max="21" width="14" style="8" customWidth="1"/>
    <col min="22" max="22" width="18.1640625" style="8" customWidth="1"/>
    <col min="23" max="24" width="14" style="8" customWidth="1"/>
    <col min="25" max="25" width="18.1640625" style="8" customWidth="1"/>
    <col min="26" max="27" width="14" style="8" customWidth="1"/>
    <col min="28" max="28" width="13.33203125" style="8" customWidth="1"/>
    <col min="29" max="29" width="12.1640625" style="8" customWidth="1"/>
    <col min="30" max="31" width="14" style="8" customWidth="1"/>
    <col min="32" max="32" width="13.6640625" style="8" customWidth="1"/>
    <col min="33" max="33" width="14" style="8" customWidth="1"/>
    <col min="34" max="16384" width="12.5" style="8"/>
  </cols>
  <sheetData>
    <row r="1" spans="1:33" ht="106" customHeight="1" x14ac:dyDescent="0.15">
      <c r="A1" s="130" t="s">
        <v>49</v>
      </c>
      <c r="C1" s="62"/>
    </row>
    <row r="2" spans="1:33" thickBot="1" x14ac:dyDescent="0.2">
      <c r="A2" s="63"/>
    </row>
    <row r="3" spans="1:33" s="14" customFormat="1" ht="61" thickBot="1" x14ac:dyDescent="0.2">
      <c r="A3" s="181" t="s">
        <v>97</v>
      </c>
      <c r="B3" s="64" t="s">
        <v>13</v>
      </c>
      <c r="C3" s="10" t="s">
        <v>14</v>
      </c>
      <c r="D3" s="11" t="s">
        <v>15</v>
      </c>
      <c r="E3" s="11" t="s">
        <v>19</v>
      </c>
      <c r="F3" s="11" t="s">
        <v>20</v>
      </c>
      <c r="G3" s="10" t="s">
        <v>51</v>
      </c>
      <c r="H3" s="10" t="s">
        <v>52</v>
      </c>
      <c r="I3" s="10" t="s">
        <v>53</v>
      </c>
      <c r="J3" s="11" t="s">
        <v>54</v>
      </c>
      <c r="K3" s="11" t="s">
        <v>55</v>
      </c>
      <c r="L3" s="11" t="s">
        <v>56</v>
      </c>
      <c r="M3" s="10" t="s">
        <v>16</v>
      </c>
      <c r="N3" s="10" t="s">
        <v>21</v>
      </c>
      <c r="O3" s="10" t="s">
        <v>22</v>
      </c>
      <c r="P3" s="11" t="s">
        <v>60</v>
      </c>
      <c r="Q3" s="11" t="s">
        <v>61</v>
      </c>
      <c r="R3" s="11" t="s">
        <v>62</v>
      </c>
      <c r="S3" s="10" t="s">
        <v>57</v>
      </c>
      <c r="T3" s="10" t="s">
        <v>58</v>
      </c>
      <c r="U3" s="10" t="s">
        <v>59</v>
      </c>
      <c r="V3" s="11" t="s">
        <v>66</v>
      </c>
      <c r="W3" s="11" t="s">
        <v>67</v>
      </c>
      <c r="X3" s="11" t="s">
        <v>68</v>
      </c>
      <c r="Y3" s="10" t="s">
        <v>17</v>
      </c>
      <c r="Z3" s="10" t="s">
        <v>23</v>
      </c>
      <c r="AA3" s="10" t="s">
        <v>24</v>
      </c>
      <c r="AB3" s="11" t="s">
        <v>63</v>
      </c>
      <c r="AC3" s="11" t="s">
        <v>64</v>
      </c>
      <c r="AD3" s="11" t="s">
        <v>65</v>
      </c>
      <c r="AE3" s="10" t="s">
        <v>18</v>
      </c>
      <c r="AF3" s="10" t="s">
        <v>25</v>
      </c>
      <c r="AG3" s="12" t="s">
        <v>26</v>
      </c>
    </row>
    <row r="4" spans="1:33" ht="18" customHeight="1" thickBot="1" x14ac:dyDescent="0.25">
      <c r="A4" s="48" t="str">
        <f>Count_Tbl[[#This Row],[Column1]]</f>
        <v>CTE Participation</v>
      </c>
      <c r="B4" s="65" t="str">
        <f>IFERROR(MAX(0,GoalAsCount_Tbl[[#This Row],[Male]]-Count_Tbl[[#This Row],[Male]])," ")</f>
        <v xml:space="preserve"> </v>
      </c>
      <c r="C4" s="66" t="str">
        <f>IFERROR(MAX(0,GoalAsCount_Tbl[[#This Row],[Female]]-Count_Tbl[[#This Row],[Female]])," ")</f>
        <v xml:space="preserve"> </v>
      </c>
      <c r="D4" s="66" t="str">
        <f>IFERROR(MAX(0,GoalAsCount_Tbl[[#This Row],[Asian or Pacific Islander]]-Count_Tbl[[#This Row],[Asian or Pacific Islander]])," ")</f>
        <v xml:space="preserve"> </v>
      </c>
      <c r="E4" s="66" t="str">
        <f>IFERROR(MAX(0,GoalAsCount_Tbl[[#This Row],[Asian or Pacific Islander Male]]-Count_Tbl[[#This Row],[Asian or Pacific Islander Male]])," ")</f>
        <v xml:space="preserve"> </v>
      </c>
      <c r="F4" s="66" t="str">
        <f>IFERROR(MAX(0,GoalAsCount_Tbl[[#This Row],[Asian or Pacific Islander Female]]-Count_Tbl[[#This Row],[Asian or Pacific Islander Female]])," ")</f>
        <v xml:space="preserve"> </v>
      </c>
      <c r="G4" s="66" t="str">
        <f>IFERROR(MAX(0,GoalAsCount_Tbl[[#This Row],[Black Non-Latinx]]-Count_Tbl[[#This Row],[Black Non-Latinx]])," ")</f>
        <v xml:space="preserve"> </v>
      </c>
      <c r="H4" s="66" t="str">
        <f>IFERROR(MAX(0,GoalAsCount_Tbl[[#This Row],[Black Non-Latinx Male]]-Count_Tbl[[#This Row],[Black Non-Latinx Male]])," ")</f>
        <v xml:space="preserve"> </v>
      </c>
      <c r="I4" s="66" t="str">
        <f>IFERROR(MAX(0,GoalAsCount_Tbl[[#This Row],[Black Non-Latinx Female]]-Count_Tbl[[#This Row],[Black Non-Latinx Female]])," ")</f>
        <v xml:space="preserve"> </v>
      </c>
      <c r="J4" s="66" t="str">
        <f>IFERROR(MAX(0,GoalAsCount_Tbl[[#This Row],[Latinx]]-Count_Tbl[[#This Row],[Latinx]])," ")</f>
        <v xml:space="preserve"> </v>
      </c>
      <c r="K4" s="66" t="str">
        <f>IFERROR(MAX(0,GoalAsCount_Tbl[[#This Row],[Latinx Male]]-Count_Tbl[[#This Row],[Latinx Male]])," ")</f>
        <v xml:space="preserve"> </v>
      </c>
      <c r="L4" s="66" t="str">
        <f>IFERROR(MAX(0,GoalAsCount_Tbl[[#This Row],[Latinx Female]]-Count_Tbl[[#This Row],[Latinx Female]])," ")</f>
        <v xml:space="preserve"> </v>
      </c>
      <c r="M4" s="66" t="str">
        <f>IFERROR(MAX(0,,GoalAsCount_Tbl[[#This Row],[Multiracial]]-Count_Tbl[[#This Row],[Multiracial]])," ")</f>
        <v xml:space="preserve"> </v>
      </c>
      <c r="N4" s="66" t="str">
        <f>IFERROR(MAX(0,,GoalAsCount_Tbl[[#This Row],[Multiracial Male]]-Count_Tbl[[#This Row],[Multiracial Male]])," ")</f>
        <v xml:space="preserve"> </v>
      </c>
      <c r="O4" s="66" t="str">
        <f>IFERROR(MAX(0,GoalAsCount_Tbl[[#This Row],[Multiracial Female]]-Count_Tbl[[#This Row],[Multiracial Female]])," ")</f>
        <v xml:space="preserve"> </v>
      </c>
      <c r="P4" s="66" t="str">
        <f>IFERROR(MAX(0,GoalAsCount_Tbl[[#This Row],[Native American or Alaska Native]]-Count_Tbl[[#This Row],[Native American or Alaska Native]])," ")</f>
        <v xml:space="preserve"> </v>
      </c>
      <c r="Q4" s="66" t="str">
        <f>IFERROR(MAX(0,GoalAsCount_Tbl[[#This Row],[Native American or Alaska Native Male]]-Count_Tbl[[#This Row],[Native American or Alaska Native Male]])," ")</f>
        <v xml:space="preserve"> </v>
      </c>
      <c r="R4" s="66" t="str">
        <f>IFERROR(MAX(0,GoalAsCount_Tbl[[#This Row],[Native American or Alaska Native Female]]-Count_Tbl[[#This Row],[Native American or Alaska Native Female]])," ")</f>
        <v xml:space="preserve"> </v>
      </c>
      <c r="S4" s="66" t="str">
        <f>IFERROR(MAX(0,GoalAsCount_Tbl[[#This Row],[White Non-Latinx]]-Count_Tbl[[#This Row],[White Non-Latinx]])," ")</f>
        <v xml:space="preserve"> </v>
      </c>
      <c r="T4" s="66" t="str">
        <f>IFERROR(MAX(0,GoalAsCount_Tbl[[#This Row],[White Non-Latinx Male]]-Count_Tbl[[#This Row],[White Non-Latinx Male]])," ")</f>
        <v xml:space="preserve"> </v>
      </c>
      <c r="U4" s="66" t="str">
        <f>IFERROR(MAX(0,GoalAsCount_Tbl[[#This Row],[White Non-Latinx Female]]-Count_Tbl[[#This Row],[White Non-Latinx Female]])," ")</f>
        <v xml:space="preserve"> </v>
      </c>
      <c r="V4" s="66" t="str">
        <f>IFERROR(MAX(0,GoalAsCount_Tbl[[#This Row],[Learners with Disabilities]]-Count_Tbl[[#This Row],[Learners with Disabilities]])," ")</f>
        <v xml:space="preserve"> </v>
      </c>
      <c r="W4" s="66" t="str">
        <f>IFERROR(MAX(0,GoalAsCount_Tbl[[#This Row],[Learners with Disabilities Male]]-Count_Tbl[[#This Row],[Learners with Disabilities Male]])," ")</f>
        <v xml:space="preserve"> </v>
      </c>
      <c r="X4" s="66" t="str">
        <f>IFERROR(MAX(0,GoalAsCount_Tbl[[#This Row],[Learners with Disabilities Female]]-Count_Tbl[[#This Row],[Learners with Disabilities Female]])," ")</f>
        <v xml:space="preserve"> </v>
      </c>
      <c r="Y4" s="66" t="str">
        <f>IFERROR(MAX(0,GoalAsCount_Tbl[[#This Row],[Economically Disadvantaged]]-Count_Tbl[[#This Row],[Economically Disadvantaged]])," ")</f>
        <v xml:space="preserve"> </v>
      </c>
      <c r="Z4" s="66" t="str">
        <f>IFERROR(MAX(0,GoalAsCount_Tbl[[#This Row],[Economically Disadvantaged Male]]-Count_Tbl[[#This Row],[Economically Disadvantaged Male]])," ")</f>
        <v xml:space="preserve"> </v>
      </c>
      <c r="AA4" s="66" t="str">
        <f>IFERROR(MAX(0,GoalAsCount_Tbl[[#This Row],[Economically Disadvantaged Female]]-Count_Tbl[[#This Row],[Economically Disadvantaged Female]])," ")</f>
        <v xml:space="preserve"> </v>
      </c>
      <c r="AB4" s="66" t="str">
        <f>IFERROR(MAX(0,GoalAsCount_Tbl[[#This Row],[English Learner]]-Count_Tbl[[#This Row],[English Learner]])," ")</f>
        <v xml:space="preserve"> </v>
      </c>
      <c r="AC4" s="66" t="str">
        <f>IFERROR(MAX(0,GoalAsCount_Tbl[[#This Row],[English Learner Male]]-Count_Tbl[[#This Row],[English Learner Male]])," ")</f>
        <v xml:space="preserve"> </v>
      </c>
      <c r="AD4" s="66" t="str">
        <f>IFERROR(MAX(0,GoalAsCount_Tbl[[#This Row],[English Learner Female]]-Count_Tbl[[#This Row],[English Learner Female]])," ")</f>
        <v xml:space="preserve"> </v>
      </c>
      <c r="AE4" s="66" t="str">
        <f>IFERROR(MAX(0,GoalAsCount_Tbl[[#This Row],[Migrant]]-Count_Tbl[[#This Row],[Migrant]])," ")</f>
        <v xml:space="preserve"> </v>
      </c>
      <c r="AF4" s="66" t="str">
        <f>IFERROR(MAX(0,GoalAsCount_Tbl[[#This Row],[Migrant Male]]-Count_Tbl[[#This Row],[Migrant Male]])," ")</f>
        <v xml:space="preserve"> </v>
      </c>
      <c r="AG4" s="66" t="str">
        <f>IFERROR(MAX(0,GoalAsCount_Tbl[[#This Row],[Migrant Female]]-Count_Tbl[[#This Row],[Migrant Female]])," ")</f>
        <v xml:space="preserve"> </v>
      </c>
    </row>
    <row r="5" spans="1:33" ht="18" customHeight="1" x14ac:dyDescent="0.2">
      <c r="A5" s="48" t="str">
        <f>Count_Tbl[[#This Row],[Column1]]</f>
        <v>HWHD CTE Participation</v>
      </c>
      <c r="B5" s="67" t="str">
        <f>IFERROR(MAX(0,GoalAsCount_Tbl[[#This Row],[Male]]-Count_Tbl[[#This Row],[Male]])," ")</f>
        <v xml:space="preserve"> </v>
      </c>
      <c r="C5" s="68" t="str">
        <f>IFERROR(MAX(0,GoalAsCount_Tbl[[#This Row],[Female]]-Count_Tbl[[#This Row],[Female]])," ")</f>
        <v xml:space="preserve"> </v>
      </c>
      <c r="D5" s="68" t="str">
        <f>IFERROR(MAX(0,GoalAsCount_Tbl[[#This Row],[Asian or Pacific Islander]]-Count_Tbl[[#This Row],[Asian or Pacific Islander]])," ")</f>
        <v xml:space="preserve"> </v>
      </c>
      <c r="E5" s="68" t="str">
        <f>IFERROR(MAX(0,GoalAsCount_Tbl[[#This Row],[Asian or Pacific Islander Male]]-Count_Tbl[[#This Row],[Asian or Pacific Islander Male]])," ")</f>
        <v xml:space="preserve"> </v>
      </c>
      <c r="F5" s="68" t="str">
        <f>IFERROR(MAX(0,GoalAsCount_Tbl[[#This Row],[Asian or Pacific Islander Female]]-Count_Tbl[[#This Row],[Asian or Pacific Islander Female]])," ")</f>
        <v xml:space="preserve"> </v>
      </c>
      <c r="G5" s="68" t="str">
        <f>IFERROR(MAX(0,GoalAsCount_Tbl[[#This Row],[Black Non-Latinx]]-Count_Tbl[[#This Row],[Black Non-Latinx]])," ")</f>
        <v xml:space="preserve"> </v>
      </c>
      <c r="H5" s="68" t="str">
        <f>IFERROR(MAX(0,GoalAsCount_Tbl[[#This Row],[Black Non-Latinx Male]]-Count_Tbl[[#This Row],[Black Non-Latinx Male]])," ")</f>
        <v xml:space="preserve"> </v>
      </c>
      <c r="I5" s="68" t="str">
        <f>IFERROR(MAX(0,GoalAsCount_Tbl[[#This Row],[Black Non-Latinx Female]]-Count_Tbl[[#This Row],[Black Non-Latinx Female]])," ")</f>
        <v xml:space="preserve"> </v>
      </c>
      <c r="J5" s="68" t="str">
        <f>IFERROR(MAX(0,GoalAsCount_Tbl[[#This Row],[Latinx]]-Count_Tbl[[#This Row],[Latinx]])," ")</f>
        <v xml:space="preserve"> </v>
      </c>
      <c r="K5" s="68" t="str">
        <f>IFERROR(MAX(0,GoalAsCount_Tbl[[#This Row],[Latinx Male]]-Count_Tbl[[#This Row],[Latinx Male]])," ")</f>
        <v xml:space="preserve"> </v>
      </c>
      <c r="L5" s="68" t="str">
        <f>IFERROR(MAX(0,GoalAsCount_Tbl[[#This Row],[Latinx Female]]-Count_Tbl[[#This Row],[Latinx Female]])," ")</f>
        <v xml:space="preserve"> </v>
      </c>
      <c r="M5" s="68" t="str">
        <f>IFERROR(MAX(0,,GoalAsCount_Tbl[[#This Row],[Multiracial]]-Count_Tbl[[#This Row],[Multiracial]])," ")</f>
        <v xml:space="preserve"> </v>
      </c>
      <c r="N5" s="68" t="str">
        <f>IFERROR(MAX(0,,GoalAsCount_Tbl[[#This Row],[Multiracial Male]]-Count_Tbl[[#This Row],[Multiracial Male]])," ")</f>
        <v xml:space="preserve"> </v>
      </c>
      <c r="O5" s="68" t="str">
        <f>IFERROR(MAX(0,GoalAsCount_Tbl[[#This Row],[Multiracial Female]]-Count_Tbl[[#This Row],[Multiracial Female]])," ")</f>
        <v xml:space="preserve"> </v>
      </c>
      <c r="P5" s="68" t="str">
        <f>IFERROR(MAX(0,GoalAsCount_Tbl[[#This Row],[Native American or Alaska Native]]-Count_Tbl[[#This Row],[Native American or Alaska Native]])," ")</f>
        <v xml:space="preserve"> </v>
      </c>
      <c r="Q5" s="68" t="str">
        <f>IFERROR(MAX(0,GoalAsCount_Tbl[[#This Row],[Native American or Alaska Native Male]]-Count_Tbl[[#This Row],[Native American or Alaska Native Male]])," ")</f>
        <v xml:space="preserve"> </v>
      </c>
      <c r="R5" s="68" t="str">
        <f>IFERROR(MAX(0,GoalAsCount_Tbl[[#This Row],[Native American or Alaska Native Female]]-Count_Tbl[[#This Row],[Native American or Alaska Native Female]])," ")</f>
        <v xml:space="preserve"> </v>
      </c>
      <c r="S5" s="68" t="str">
        <f>IFERROR(MAX(0,GoalAsCount_Tbl[[#This Row],[White Non-Latinx]]-Count_Tbl[[#This Row],[White Non-Latinx]])," ")</f>
        <v xml:space="preserve"> </v>
      </c>
      <c r="T5" s="68" t="str">
        <f>IFERROR(MAX(0,GoalAsCount_Tbl[[#This Row],[White Non-Latinx Male]]-Count_Tbl[[#This Row],[White Non-Latinx Male]])," ")</f>
        <v xml:space="preserve"> </v>
      </c>
      <c r="U5" s="68" t="str">
        <f>IFERROR(MAX(0,GoalAsCount_Tbl[[#This Row],[White Non-Latinx Female]]-Count_Tbl[[#This Row],[White Non-Latinx Female]])," ")</f>
        <v xml:space="preserve"> </v>
      </c>
      <c r="V5" s="68" t="str">
        <f>IFERROR(MAX(0,GoalAsCount_Tbl[[#This Row],[Learners with Disabilities]]-Count_Tbl[[#This Row],[Learners with Disabilities]])," ")</f>
        <v xml:space="preserve"> </v>
      </c>
      <c r="W5" s="68" t="str">
        <f>IFERROR(MAX(0,GoalAsCount_Tbl[[#This Row],[Learners with Disabilities Male]]-Count_Tbl[[#This Row],[Learners with Disabilities Male]])," ")</f>
        <v xml:space="preserve"> </v>
      </c>
      <c r="X5" s="68" t="str">
        <f>IFERROR(MAX(0,GoalAsCount_Tbl[[#This Row],[Learners with Disabilities Female]]-Count_Tbl[[#This Row],[Learners with Disabilities Female]])," ")</f>
        <v xml:space="preserve"> </v>
      </c>
      <c r="Y5" s="68" t="str">
        <f>IFERROR(MAX(0,GoalAsCount_Tbl[[#This Row],[Economically Disadvantaged]]-Count_Tbl[[#This Row],[Economically Disadvantaged]])," ")</f>
        <v xml:space="preserve"> </v>
      </c>
      <c r="Z5" s="68" t="str">
        <f>IFERROR(MAX(0,GoalAsCount_Tbl[[#This Row],[Economically Disadvantaged Male]]-Count_Tbl[[#This Row],[Economically Disadvantaged Male]])," ")</f>
        <v xml:space="preserve"> </v>
      </c>
      <c r="AA5" s="68" t="str">
        <f>IFERROR(MAX(0,GoalAsCount_Tbl[[#This Row],[Economically Disadvantaged Female]]-Count_Tbl[[#This Row],[Economically Disadvantaged Female]])," ")</f>
        <v xml:space="preserve"> </v>
      </c>
      <c r="AB5" s="68" t="str">
        <f>IFERROR(MAX(0,GoalAsCount_Tbl[[#This Row],[English Learner]]-Count_Tbl[[#This Row],[English Learner]])," ")</f>
        <v xml:space="preserve"> </v>
      </c>
      <c r="AC5" s="68" t="str">
        <f>IFERROR(MAX(0,GoalAsCount_Tbl[[#This Row],[English Learner Male]]-Count_Tbl[[#This Row],[English Learner Male]])," ")</f>
        <v xml:space="preserve"> </v>
      </c>
      <c r="AD5" s="68" t="str">
        <f>IFERROR(MAX(0,GoalAsCount_Tbl[[#This Row],[English Learner Female]]-Count_Tbl[[#This Row],[English Learner Female]])," ")</f>
        <v xml:space="preserve"> </v>
      </c>
      <c r="AE5" s="68" t="str">
        <f>IFERROR(MAX(0,GoalAsCount_Tbl[[#This Row],[Migrant]]-Count_Tbl[[#This Row],[Migrant]])," ")</f>
        <v xml:space="preserve"> </v>
      </c>
      <c r="AF5" s="68" t="str">
        <f>IFERROR(MAX(0,GoalAsCount_Tbl[[#This Row],[Migrant Male]]-Count_Tbl[[#This Row],[Migrant Male]])," ")</f>
        <v xml:space="preserve"> </v>
      </c>
      <c r="AG5" s="68" t="str">
        <f>IFERROR(MAX(0,GoalAsCount_Tbl[[#This Row],[Migrant Female]]-Count_Tbl[[#This Row],[Migrant Female]])," ")</f>
        <v xml:space="preserve"> </v>
      </c>
    </row>
    <row r="6" spans="1:33" ht="18" customHeight="1" x14ac:dyDescent="0.2">
      <c r="A6" s="48" t="str">
        <f>Count_Tbl[[#This Row],[Column1]]</f>
        <v>CTE Concentration</v>
      </c>
      <c r="B6" s="67" t="str">
        <f>IFERROR(MAX(0,GoalAsCount_Tbl[[#This Row],[Male]]-Count_Tbl[[#This Row],[Male]])," ")</f>
        <v xml:space="preserve"> </v>
      </c>
      <c r="C6" s="68" t="str">
        <f>IFERROR(MAX(0,GoalAsCount_Tbl[[#This Row],[Female]]-Count_Tbl[[#This Row],[Female]])," ")</f>
        <v xml:space="preserve"> </v>
      </c>
      <c r="D6" s="68" t="str">
        <f>IFERROR(MAX(0,GoalAsCount_Tbl[[#This Row],[Asian or Pacific Islander]]-Count_Tbl[[#This Row],[Asian or Pacific Islander]])," ")</f>
        <v xml:space="preserve"> </v>
      </c>
      <c r="E6" s="68" t="str">
        <f>IFERROR(MAX(0,GoalAsCount_Tbl[[#This Row],[Asian or Pacific Islander Male]]-Count_Tbl[[#This Row],[Asian or Pacific Islander Male]])," ")</f>
        <v xml:space="preserve"> </v>
      </c>
      <c r="F6" s="68" t="str">
        <f>IFERROR(MAX(0,GoalAsCount_Tbl[[#This Row],[Asian or Pacific Islander Female]]-Count_Tbl[[#This Row],[Asian or Pacific Islander Female]])," ")</f>
        <v xml:space="preserve"> </v>
      </c>
      <c r="G6" s="68" t="str">
        <f>IFERROR(MAX(0,GoalAsCount_Tbl[[#This Row],[Black Non-Latinx]]-Count_Tbl[[#This Row],[Black Non-Latinx]])," ")</f>
        <v xml:space="preserve"> </v>
      </c>
      <c r="H6" s="68" t="str">
        <f>IFERROR(MAX(0,GoalAsCount_Tbl[[#This Row],[Black Non-Latinx Male]]-Count_Tbl[[#This Row],[Black Non-Latinx Male]])," ")</f>
        <v xml:space="preserve"> </v>
      </c>
      <c r="I6" s="68" t="str">
        <f>IFERROR(MAX(0,GoalAsCount_Tbl[[#This Row],[Black Non-Latinx Female]]-Count_Tbl[[#This Row],[Black Non-Latinx Female]])," ")</f>
        <v xml:space="preserve"> </v>
      </c>
      <c r="J6" s="68" t="str">
        <f>IFERROR(MAX(0,GoalAsCount_Tbl[[#This Row],[Latinx]]-Count_Tbl[[#This Row],[Latinx]])," ")</f>
        <v xml:space="preserve"> </v>
      </c>
      <c r="K6" s="68" t="str">
        <f>IFERROR(MAX(0,GoalAsCount_Tbl[[#This Row],[Latinx Male]]-Count_Tbl[[#This Row],[Latinx Male]])," ")</f>
        <v xml:space="preserve"> </v>
      </c>
      <c r="L6" s="68" t="str">
        <f>IFERROR(MAX(0,GoalAsCount_Tbl[[#This Row],[Latinx Female]]-Count_Tbl[[#This Row],[Latinx Female]])," ")</f>
        <v xml:space="preserve"> </v>
      </c>
      <c r="M6" s="68" t="str">
        <f>IFERROR(MAX(0,,GoalAsCount_Tbl[[#This Row],[Multiracial]]-Count_Tbl[[#This Row],[Multiracial]])," ")</f>
        <v xml:space="preserve"> </v>
      </c>
      <c r="N6" s="68" t="str">
        <f>IFERROR(MAX(0,,GoalAsCount_Tbl[[#This Row],[Multiracial Male]]-Count_Tbl[[#This Row],[Multiracial Male]])," ")</f>
        <v xml:space="preserve"> </v>
      </c>
      <c r="O6" s="68" t="str">
        <f>IFERROR(MAX(0,GoalAsCount_Tbl[[#This Row],[Multiracial Female]]-Count_Tbl[[#This Row],[Multiracial Female]])," ")</f>
        <v xml:space="preserve"> </v>
      </c>
      <c r="P6" s="68" t="str">
        <f>IFERROR(MAX(0,GoalAsCount_Tbl[[#This Row],[Native American or Alaska Native]]-Count_Tbl[[#This Row],[Native American or Alaska Native]])," ")</f>
        <v xml:space="preserve"> </v>
      </c>
      <c r="Q6" s="68" t="str">
        <f>IFERROR(MAX(0,GoalAsCount_Tbl[[#This Row],[Native American or Alaska Native Male]]-Count_Tbl[[#This Row],[Native American or Alaska Native Male]])," ")</f>
        <v xml:space="preserve"> </v>
      </c>
      <c r="R6" s="68" t="str">
        <f>IFERROR(MAX(0,GoalAsCount_Tbl[[#This Row],[Native American or Alaska Native Female]]-Count_Tbl[[#This Row],[Native American or Alaska Native Female]])," ")</f>
        <v xml:space="preserve"> </v>
      </c>
      <c r="S6" s="68" t="str">
        <f>IFERROR(MAX(0,GoalAsCount_Tbl[[#This Row],[White Non-Latinx]]-Count_Tbl[[#This Row],[White Non-Latinx]])," ")</f>
        <v xml:space="preserve"> </v>
      </c>
      <c r="T6" s="68" t="str">
        <f>IFERROR(MAX(0,GoalAsCount_Tbl[[#This Row],[White Non-Latinx Male]]-Count_Tbl[[#This Row],[White Non-Latinx Male]])," ")</f>
        <v xml:space="preserve"> </v>
      </c>
      <c r="U6" s="68" t="str">
        <f>IFERROR(MAX(0,GoalAsCount_Tbl[[#This Row],[White Non-Latinx Female]]-Count_Tbl[[#This Row],[White Non-Latinx Female]])," ")</f>
        <v xml:space="preserve"> </v>
      </c>
      <c r="V6" s="68" t="str">
        <f>IFERROR(MAX(0,GoalAsCount_Tbl[[#This Row],[Learners with Disabilities]]-Count_Tbl[[#This Row],[Learners with Disabilities]])," ")</f>
        <v xml:space="preserve"> </v>
      </c>
      <c r="W6" s="68" t="str">
        <f>IFERROR(MAX(0,GoalAsCount_Tbl[[#This Row],[Learners with Disabilities Male]]-Count_Tbl[[#This Row],[Learners with Disabilities Male]])," ")</f>
        <v xml:space="preserve"> </v>
      </c>
      <c r="X6" s="68" t="str">
        <f>IFERROR(MAX(0,GoalAsCount_Tbl[[#This Row],[Learners with Disabilities Female]]-Count_Tbl[[#This Row],[Learners with Disabilities Female]])," ")</f>
        <v xml:space="preserve"> </v>
      </c>
      <c r="Y6" s="68" t="str">
        <f>IFERROR(MAX(0,GoalAsCount_Tbl[[#This Row],[Economically Disadvantaged]]-Count_Tbl[[#This Row],[Economically Disadvantaged]])," ")</f>
        <v xml:space="preserve"> </v>
      </c>
      <c r="Z6" s="68" t="str">
        <f>IFERROR(MAX(0,GoalAsCount_Tbl[[#This Row],[Economically Disadvantaged Male]]-Count_Tbl[[#This Row],[Economically Disadvantaged Male]])," ")</f>
        <v xml:space="preserve"> </v>
      </c>
      <c r="AA6" s="68" t="str">
        <f>IFERROR(MAX(0,GoalAsCount_Tbl[[#This Row],[Economically Disadvantaged Female]]-Count_Tbl[[#This Row],[Economically Disadvantaged Female]])," ")</f>
        <v xml:space="preserve"> </v>
      </c>
      <c r="AB6" s="68" t="str">
        <f>IFERROR(MAX(0,GoalAsCount_Tbl[[#This Row],[English Learner]]-Count_Tbl[[#This Row],[English Learner]])," ")</f>
        <v xml:space="preserve"> </v>
      </c>
      <c r="AC6" s="68" t="str">
        <f>IFERROR(MAX(0,GoalAsCount_Tbl[[#This Row],[English Learner Male]]-Count_Tbl[[#This Row],[English Learner Male]])," ")</f>
        <v xml:space="preserve"> </v>
      </c>
      <c r="AD6" s="68" t="str">
        <f>IFERROR(MAX(0,GoalAsCount_Tbl[[#This Row],[English Learner Female]]-Count_Tbl[[#This Row],[English Learner Female]])," ")</f>
        <v xml:space="preserve"> </v>
      </c>
      <c r="AE6" s="68" t="str">
        <f>IFERROR(MAX(0,GoalAsCount_Tbl[[#This Row],[Migrant]]-Count_Tbl[[#This Row],[Migrant]])," ")</f>
        <v xml:space="preserve"> </v>
      </c>
      <c r="AF6" s="68" t="str">
        <f>IFERROR(MAX(0,GoalAsCount_Tbl[[#This Row],[Migrant Male]]-Count_Tbl[[#This Row],[Migrant Male]])," ")</f>
        <v xml:space="preserve"> </v>
      </c>
      <c r="AG6" s="68" t="str">
        <f>IFERROR(MAX(0,GoalAsCount_Tbl[[#This Row],[Migrant Female]]-Count_Tbl[[#This Row],[Migrant Female]])," ")</f>
        <v xml:space="preserve"> </v>
      </c>
    </row>
    <row r="7" spans="1:33" ht="18" customHeight="1" x14ac:dyDescent="0.2">
      <c r="A7" s="48" t="str">
        <f>Count_Tbl[[#This Row],[Column1]]</f>
        <v>HWHD CTE Concentration</v>
      </c>
      <c r="B7" s="67" t="str">
        <f>IFERROR(MAX(0,GoalAsCount_Tbl[[#This Row],[Male]]-Count_Tbl[[#This Row],[Male]])," ")</f>
        <v xml:space="preserve"> </v>
      </c>
      <c r="C7" s="68" t="str">
        <f>IFERROR(MAX(0,GoalAsCount_Tbl[[#This Row],[Female]]-Count_Tbl[[#This Row],[Female]])," ")</f>
        <v xml:space="preserve"> </v>
      </c>
      <c r="D7" s="68" t="str">
        <f>IFERROR(MAX(0,GoalAsCount_Tbl[[#This Row],[Asian or Pacific Islander]]-Count_Tbl[[#This Row],[Asian or Pacific Islander]])," ")</f>
        <v xml:space="preserve"> </v>
      </c>
      <c r="E7" s="68" t="str">
        <f>IFERROR(MAX(0,GoalAsCount_Tbl[[#This Row],[Asian or Pacific Islander Male]]-Count_Tbl[[#This Row],[Asian or Pacific Islander Male]])," ")</f>
        <v xml:space="preserve"> </v>
      </c>
      <c r="F7" s="68" t="str">
        <f>IFERROR(MAX(0,GoalAsCount_Tbl[[#This Row],[Asian or Pacific Islander Female]]-Count_Tbl[[#This Row],[Asian or Pacific Islander Female]])," ")</f>
        <v xml:space="preserve"> </v>
      </c>
      <c r="G7" s="68" t="str">
        <f>IFERROR(MAX(0,GoalAsCount_Tbl[[#This Row],[Black Non-Latinx]]-Count_Tbl[[#This Row],[Black Non-Latinx]])," ")</f>
        <v xml:space="preserve"> </v>
      </c>
      <c r="H7" s="68" t="str">
        <f>IFERROR(MAX(0,GoalAsCount_Tbl[[#This Row],[Black Non-Latinx Male]]-Count_Tbl[[#This Row],[Black Non-Latinx Male]])," ")</f>
        <v xml:space="preserve"> </v>
      </c>
      <c r="I7" s="68" t="str">
        <f>IFERROR(MAX(0,GoalAsCount_Tbl[[#This Row],[Black Non-Latinx Female]]-Count_Tbl[[#This Row],[Black Non-Latinx Female]])," ")</f>
        <v xml:space="preserve"> </v>
      </c>
      <c r="J7" s="68" t="str">
        <f>IFERROR(MAX(0,GoalAsCount_Tbl[[#This Row],[Latinx]]-Count_Tbl[[#This Row],[Latinx]])," ")</f>
        <v xml:space="preserve"> </v>
      </c>
      <c r="K7" s="68" t="str">
        <f>IFERROR(MAX(0,GoalAsCount_Tbl[[#This Row],[Latinx Male]]-Count_Tbl[[#This Row],[Latinx Male]])," ")</f>
        <v xml:space="preserve"> </v>
      </c>
      <c r="L7" s="68" t="str">
        <f>IFERROR(MAX(0,GoalAsCount_Tbl[[#This Row],[Latinx Female]]-Count_Tbl[[#This Row],[Latinx Female]])," ")</f>
        <v xml:space="preserve"> </v>
      </c>
      <c r="M7" s="68" t="str">
        <f>IFERROR(MAX(0,,GoalAsCount_Tbl[[#This Row],[Multiracial]]-Count_Tbl[[#This Row],[Multiracial]])," ")</f>
        <v xml:space="preserve"> </v>
      </c>
      <c r="N7" s="68" t="str">
        <f>IFERROR(MAX(0,,GoalAsCount_Tbl[[#This Row],[Multiracial Male]]-Count_Tbl[[#This Row],[Multiracial Male]])," ")</f>
        <v xml:space="preserve"> </v>
      </c>
      <c r="O7" s="68" t="str">
        <f>IFERROR(MAX(0,GoalAsCount_Tbl[[#This Row],[Multiracial Female]]-Count_Tbl[[#This Row],[Multiracial Female]])," ")</f>
        <v xml:space="preserve"> </v>
      </c>
      <c r="P7" s="68" t="str">
        <f>IFERROR(MAX(0,GoalAsCount_Tbl[[#This Row],[Native American or Alaska Native]]-Count_Tbl[[#This Row],[Native American or Alaska Native]])," ")</f>
        <v xml:space="preserve"> </v>
      </c>
      <c r="Q7" s="68" t="str">
        <f>IFERROR(MAX(0,GoalAsCount_Tbl[[#This Row],[Native American or Alaska Native Male]]-Count_Tbl[[#This Row],[Native American or Alaska Native Male]])," ")</f>
        <v xml:space="preserve"> </v>
      </c>
      <c r="R7" s="68" t="str">
        <f>IFERROR(MAX(0,GoalAsCount_Tbl[[#This Row],[Native American or Alaska Native Female]]-Count_Tbl[[#This Row],[Native American or Alaska Native Female]])," ")</f>
        <v xml:space="preserve"> </v>
      </c>
      <c r="S7" s="68" t="str">
        <f>IFERROR(MAX(0,GoalAsCount_Tbl[[#This Row],[White Non-Latinx]]-Count_Tbl[[#This Row],[White Non-Latinx]])," ")</f>
        <v xml:space="preserve"> </v>
      </c>
      <c r="T7" s="68" t="str">
        <f>IFERROR(MAX(0,GoalAsCount_Tbl[[#This Row],[White Non-Latinx Male]]-Count_Tbl[[#This Row],[White Non-Latinx Male]])," ")</f>
        <v xml:space="preserve"> </v>
      </c>
      <c r="U7" s="68" t="str">
        <f>IFERROR(MAX(0,GoalAsCount_Tbl[[#This Row],[White Non-Latinx Female]]-Count_Tbl[[#This Row],[White Non-Latinx Female]])," ")</f>
        <v xml:space="preserve"> </v>
      </c>
      <c r="V7" s="68" t="str">
        <f>IFERROR(MAX(0,GoalAsCount_Tbl[[#This Row],[Learners with Disabilities]]-Count_Tbl[[#This Row],[Learners with Disabilities]])," ")</f>
        <v xml:space="preserve"> </v>
      </c>
      <c r="W7" s="68" t="str">
        <f>IFERROR(MAX(0,GoalAsCount_Tbl[[#This Row],[Learners with Disabilities Male]]-Count_Tbl[[#This Row],[Learners with Disabilities Male]])," ")</f>
        <v xml:space="preserve"> </v>
      </c>
      <c r="X7" s="68" t="str">
        <f>IFERROR(MAX(0,GoalAsCount_Tbl[[#This Row],[Learners with Disabilities Female]]-Count_Tbl[[#This Row],[Learners with Disabilities Female]])," ")</f>
        <v xml:space="preserve"> </v>
      </c>
      <c r="Y7" s="68" t="str">
        <f>IFERROR(MAX(0,GoalAsCount_Tbl[[#This Row],[Economically Disadvantaged]]-Count_Tbl[[#This Row],[Economically Disadvantaged]])," ")</f>
        <v xml:space="preserve"> </v>
      </c>
      <c r="Z7" s="68" t="str">
        <f>IFERROR(MAX(0,GoalAsCount_Tbl[[#This Row],[Economically Disadvantaged Male]]-Count_Tbl[[#This Row],[Economically Disadvantaged Male]])," ")</f>
        <v xml:space="preserve"> </v>
      </c>
      <c r="AA7" s="68" t="str">
        <f>IFERROR(MAX(0,GoalAsCount_Tbl[[#This Row],[Economically Disadvantaged Female]]-Count_Tbl[[#This Row],[Economically Disadvantaged Female]])," ")</f>
        <v xml:space="preserve"> </v>
      </c>
      <c r="AB7" s="68" t="str">
        <f>IFERROR(MAX(0,GoalAsCount_Tbl[[#This Row],[English Learner]]-Count_Tbl[[#This Row],[English Learner]])," ")</f>
        <v xml:space="preserve"> </v>
      </c>
      <c r="AC7" s="68" t="str">
        <f>IFERROR(MAX(0,GoalAsCount_Tbl[[#This Row],[English Learner Male]]-Count_Tbl[[#This Row],[English Learner Male]])," ")</f>
        <v xml:space="preserve"> </v>
      </c>
      <c r="AD7" s="68" t="str">
        <f>IFERROR(MAX(0,GoalAsCount_Tbl[[#This Row],[English Learner Female]]-Count_Tbl[[#This Row],[English Learner Female]])," ")</f>
        <v xml:space="preserve"> </v>
      </c>
      <c r="AE7" s="68" t="str">
        <f>IFERROR(MAX(0,GoalAsCount_Tbl[[#This Row],[Migrant]]-Count_Tbl[[#This Row],[Migrant]])," ")</f>
        <v xml:space="preserve"> </v>
      </c>
      <c r="AF7" s="68" t="str">
        <f>IFERROR(MAX(0,GoalAsCount_Tbl[[#This Row],[Migrant Male]]-Count_Tbl[[#This Row],[Migrant Male]])," ")</f>
        <v xml:space="preserve"> </v>
      </c>
      <c r="AG7" s="68" t="str">
        <f>IFERROR(MAX(0,GoalAsCount_Tbl[[#This Row],[Migrant Female]]-Count_Tbl[[#This Row],[Migrant Female]])," ")</f>
        <v xml:space="preserve"> </v>
      </c>
    </row>
    <row r="8" spans="1:33" ht="18" customHeight="1" x14ac:dyDescent="0.2">
      <c r="A8" s="48" t="str">
        <f>Count_Tbl[[#This Row],[Column1]]</f>
        <v>WBL Completion</v>
      </c>
      <c r="B8" s="67" t="str">
        <f>IFERROR(MAX(0,GoalAsCount_Tbl[[#This Row],[Male]]-Count_Tbl[[#This Row],[Male]])," ")</f>
        <v xml:space="preserve"> </v>
      </c>
      <c r="C8" s="68" t="str">
        <f>IFERROR(MAX(0,GoalAsCount_Tbl[[#This Row],[Female]]-Count_Tbl[[#This Row],[Female]])," ")</f>
        <v xml:space="preserve"> </v>
      </c>
      <c r="D8" s="68" t="str">
        <f>IFERROR(MAX(0,GoalAsCount_Tbl[[#This Row],[Asian or Pacific Islander]]-Count_Tbl[[#This Row],[Asian or Pacific Islander]])," ")</f>
        <v xml:space="preserve"> </v>
      </c>
      <c r="E8" s="68" t="str">
        <f>IFERROR(MAX(0,GoalAsCount_Tbl[[#This Row],[Asian or Pacific Islander Male]]-Count_Tbl[[#This Row],[Asian or Pacific Islander Male]])," ")</f>
        <v xml:space="preserve"> </v>
      </c>
      <c r="F8" s="68" t="str">
        <f>IFERROR(MAX(0,GoalAsCount_Tbl[[#This Row],[Asian or Pacific Islander Female]]-Count_Tbl[[#This Row],[Asian or Pacific Islander Female]])," ")</f>
        <v xml:space="preserve"> </v>
      </c>
      <c r="G8" s="68" t="str">
        <f>IFERROR(MAX(0,GoalAsCount_Tbl[[#This Row],[Black Non-Latinx]]-Count_Tbl[[#This Row],[Black Non-Latinx]])," ")</f>
        <v xml:space="preserve"> </v>
      </c>
      <c r="H8" s="68" t="str">
        <f>IFERROR(MAX(0,GoalAsCount_Tbl[[#This Row],[Black Non-Latinx Male]]-Count_Tbl[[#This Row],[Black Non-Latinx Male]])," ")</f>
        <v xml:space="preserve"> </v>
      </c>
      <c r="I8" s="68" t="str">
        <f>IFERROR(MAX(0,GoalAsCount_Tbl[[#This Row],[Black Non-Latinx Female]]-Count_Tbl[[#This Row],[Black Non-Latinx Female]])," ")</f>
        <v xml:space="preserve"> </v>
      </c>
      <c r="J8" s="68" t="str">
        <f>IFERROR(MAX(0,GoalAsCount_Tbl[[#This Row],[Latinx]]-Count_Tbl[[#This Row],[Latinx]])," ")</f>
        <v xml:space="preserve"> </v>
      </c>
      <c r="K8" s="68" t="str">
        <f>IFERROR(MAX(0,GoalAsCount_Tbl[[#This Row],[Latinx Male]]-Count_Tbl[[#This Row],[Latinx Male]])," ")</f>
        <v xml:space="preserve"> </v>
      </c>
      <c r="L8" s="68" t="str">
        <f>IFERROR(MAX(0,GoalAsCount_Tbl[[#This Row],[Latinx Female]]-Count_Tbl[[#This Row],[Latinx Female]])," ")</f>
        <v xml:space="preserve"> </v>
      </c>
      <c r="M8" s="68" t="str">
        <f>IFERROR(MAX(0,,GoalAsCount_Tbl[[#This Row],[Multiracial]]-Count_Tbl[[#This Row],[Multiracial]])," ")</f>
        <v xml:space="preserve"> </v>
      </c>
      <c r="N8" s="68" t="str">
        <f>IFERROR(MAX(0,,GoalAsCount_Tbl[[#This Row],[Multiracial Male]]-Count_Tbl[[#This Row],[Multiracial Male]])," ")</f>
        <v xml:space="preserve"> </v>
      </c>
      <c r="O8" s="68" t="str">
        <f>IFERROR(MAX(0,GoalAsCount_Tbl[[#This Row],[Multiracial Female]]-Count_Tbl[[#This Row],[Multiracial Female]])," ")</f>
        <v xml:space="preserve"> </v>
      </c>
      <c r="P8" s="68" t="str">
        <f>IFERROR(MAX(0,GoalAsCount_Tbl[[#This Row],[Native American or Alaska Native]]-Count_Tbl[[#This Row],[Native American or Alaska Native]])," ")</f>
        <v xml:space="preserve"> </v>
      </c>
      <c r="Q8" s="68" t="str">
        <f>IFERROR(MAX(0,GoalAsCount_Tbl[[#This Row],[Native American or Alaska Native Male]]-Count_Tbl[[#This Row],[Native American or Alaska Native Male]])," ")</f>
        <v xml:space="preserve"> </v>
      </c>
      <c r="R8" s="68" t="str">
        <f>IFERROR(MAX(0,GoalAsCount_Tbl[[#This Row],[Native American or Alaska Native Female]]-Count_Tbl[[#This Row],[Native American or Alaska Native Female]])," ")</f>
        <v xml:space="preserve"> </v>
      </c>
      <c r="S8" s="68" t="str">
        <f>IFERROR(MAX(0,GoalAsCount_Tbl[[#This Row],[White Non-Latinx]]-Count_Tbl[[#This Row],[White Non-Latinx]])," ")</f>
        <v xml:space="preserve"> </v>
      </c>
      <c r="T8" s="68" t="str">
        <f>IFERROR(MAX(0,GoalAsCount_Tbl[[#This Row],[White Non-Latinx Male]]-Count_Tbl[[#This Row],[White Non-Latinx Male]])," ")</f>
        <v xml:space="preserve"> </v>
      </c>
      <c r="U8" s="68" t="str">
        <f>IFERROR(MAX(0,GoalAsCount_Tbl[[#This Row],[White Non-Latinx Female]]-Count_Tbl[[#This Row],[White Non-Latinx Female]])," ")</f>
        <v xml:space="preserve"> </v>
      </c>
      <c r="V8" s="68" t="str">
        <f>IFERROR(MAX(0,GoalAsCount_Tbl[[#This Row],[Learners with Disabilities]]-Count_Tbl[[#This Row],[Learners with Disabilities]])," ")</f>
        <v xml:space="preserve"> </v>
      </c>
      <c r="W8" s="68" t="str">
        <f>IFERROR(MAX(0,GoalAsCount_Tbl[[#This Row],[Learners with Disabilities Male]]-Count_Tbl[[#This Row],[Learners with Disabilities Male]])," ")</f>
        <v xml:space="preserve"> </v>
      </c>
      <c r="X8" s="68" t="str">
        <f>IFERROR(MAX(0,GoalAsCount_Tbl[[#This Row],[Learners with Disabilities Female]]-Count_Tbl[[#This Row],[Learners with Disabilities Female]])," ")</f>
        <v xml:space="preserve"> </v>
      </c>
      <c r="Y8" s="68" t="str">
        <f>IFERROR(MAX(0,GoalAsCount_Tbl[[#This Row],[Economically Disadvantaged]]-Count_Tbl[[#This Row],[Economically Disadvantaged]])," ")</f>
        <v xml:space="preserve"> </v>
      </c>
      <c r="Z8" s="68" t="str">
        <f>IFERROR(MAX(0,GoalAsCount_Tbl[[#This Row],[Economically Disadvantaged Male]]-Count_Tbl[[#This Row],[Economically Disadvantaged Male]])," ")</f>
        <v xml:space="preserve"> </v>
      </c>
      <c r="AA8" s="68" t="str">
        <f>IFERROR(MAX(0,GoalAsCount_Tbl[[#This Row],[Economically Disadvantaged Female]]-Count_Tbl[[#This Row],[Economically Disadvantaged Female]])," ")</f>
        <v xml:space="preserve"> </v>
      </c>
      <c r="AB8" s="68" t="str">
        <f>IFERROR(MAX(0,GoalAsCount_Tbl[[#This Row],[English Learner]]-Count_Tbl[[#This Row],[English Learner]])," ")</f>
        <v xml:space="preserve"> </v>
      </c>
      <c r="AC8" s="68" t="str">
        <f>IFERROR(MAX(0,GoalAsCount_Tbl[[#This Row],[English Learner Male]]-Count_Tbl[[#This Row],[English Learner Male]])," ")</f>
        <v xml:space="preserve"> </v>
      </c>
      <c r="AD8" s="68" t="str">
        <f>IFERROR(MAX(0,GoalAsCount_Tbl[[#This Row],[English Learner Female]]-Count_Tbl[[#This Row],[English Learner Female]])," ")</f>
        <v xml:space="preserve"> </v>
      </c>
      <c r="AE8" s="68" t="str">
        <f>IFERROR(MAX(0,GoalAsCount_Tbl[[#This Row],[Migrant]]-Count_Tbl[[#This Row],[Migrant]])," ")</f>
        <v xml:space="preserve"> </v>
      </c>
      <c r="AF8" s="68" t="str">
        <f>IFERROR(MAX(0,GoalAsCount_Tbl[[#This Row],[Migrant Male]]-Count_Tbl[[#This Row],[Migrant Male]])," ")</f>
        <v xml:space="preserve"> </v>
      </c>
      <c r="AG8" s="68" t="str">
        <f>IFERROR(MAX(0,GoalAsCount_Tbl[[#This Row],[Migrant Female]]-Count_Tbl[[#This Row],[Migrant Female]])," ")</f>
        <v xml:space="preserve"> </v>
      </c>
    </row>
    <row r="9" spans="1:33" ht="18" customHeight="1" x14ac:dyDescent="0.2">
      <c r="A9" s="48" t="str">
        <f>Count_Tbl[[#This Row],[Column1]]</f>
        <v>Advanced Coursework Completion</v>
      </c>
      <c r="B9" s="67" t="str">
        <f>IFERROR(MAX(0,GoalAsCount_Tbl[[#This Row],[Male]]-Count_Tbl[[#This Row],[Male]])," ")</f>
        <v xml:space="preserve"> </v>
      </c>
      <c r="C9" s="68" t="str">
        <f>IFERROR(MAX(0,GoalAsCount_Tbl[[#This Row],[Female]]-Count_Tbl[[#This Row],[Female]])," ")</f>
        <v xml:space="preserve"> </v>
      </c>
      <c r="D9" s="68" t="str">
        <f>IFERROR(MAX(0,GoalAsCount_Tbl[[#This Row],[Asian or Pacific Islander]]-Count_Tbl[[#This Row],[Asian or Pacific Islander]])," ")</f>
        <v xml:space="preserve"> </v>
      </c>
      <c r="E9" s="68" t="str">
        <f>IFERROR(MAX(0,GoalAsCount_Tbl[[#This Row],[Asian or Pacific Islander Male]]-Count_Tbl[[#This Row],[Asian or Pacific Islander Male]])," ")</f>
        <v xml:space="preserve"> </v>
      </c>
      <c r="F9" s="68" t="str">
        <f>IFERROR(MAX(0,GoalAsCount_Tbl[[#This Row],[Asian or Pacific Islander Female]]-Count_Tbl[[#This Row],[Asian or Pacific Islander Female]])," ")</f>
        <v xml:space="preserve"> </v>
      </c>
      <c r="G9" s="68" t="str">
        <f>IFERROR(MAX(0,GoalAsCount_Tbl[[#This Row],[Black Non-Latinx]]-Count_Tbl[[#This Row],[Black Non-Latinx]])," ")</f>
        <v xml:space="preserve"> </v>
      </c>
      <c r="H9" s="68" t="str">
        <f>IFERROR(MAX(0,GoalAsCount_Tbl[[#This Row],[Black Non-Latinx Male]]-Count_Tbl[[#This Row],[Black Non-Latinx Male]])," ")</f>
        <v xml:space="preserve"> </v>
      </c>
      <c r="I9" s="68" t="str">
        <f>IFERROR(MAX(0,GoalAsCount_Tbl[[#This Row],[Black Non-Latinx Female]]-Count_Tbl[[#This Row],[Black Non-Latinx Female]])," ")</f>
        <v xml:space="preserve"> </v>
      </c>
      <c r="J9" s="68" t="str">
        <f>IFERROR(MAX(0,GoalAsCount_Tbl[[#This Row],[Latinx]]-Count_Tbl[[#This Row],[Latinx]])," ")</f>
        <v xml:space="preserve"> </v>
      </c>
      <c r="K9" s="68" t="str">
        <f>IFERROR(MAX(0,GoalAsCount_Tbl[[#This Row],[Latinx Male]]-Count_Tbl[[#This Row],[Latinx Male]])," ")</f>
        <v xml:space="preserve"> </v>
      </c>
      <c r="L9" s="68" t="str">
        <f>IFERROR(MAX(0,GoalAsCount_Tbl[[#This Row],[Latinx Female]]-Count_Tbl[[#This Row],[Latinx Female]])," ")</f>
        <v xml:space="preserve"> </v>
      </c>
      <c r="M9" s="68" t="str">
        <f>IFERROR(MAX(0,,GoalAsCount_Tbl[[#This Row],[Multiracial]]-Count_Tbl[[#This Row],[Multiracial]])," ")</f>
        <v xml:space="preserve"> </v>
      </c>
      <c r="N9" s="68" t="str">
        <f>IFERROR(MAX(0,,GoalAsCount_Tbl[[#This Row],[Multiracial Male]]-Count_Tbl[[#This Row],[Multiracial Male]])," ")</f>
        <v xml:space="preserve"> </v>
      </c>
      <c r="O9" s="68" t="str">
        <f>IFERROR(MAX(0,GoalAsCount_Tbl[[#This Row],[Multiracial Female]]-Count_Tbl[[#This Row],[Multiracial Female]])," ")</f>
        <v xml:space="preserve"> </v>
      </c>
      <c r="P9" s="68" t="str">
        <f>IFERROR(MAX(0,GoalAsCount_Tbl[[#This Row],[Native American or Alaska Native]]-Count_Tbl[[#This Row],[Native American or Alaska Native]])," ")</f>
        <v xml:space="preserve"> </v>
      </c>
      <c r="Q9" s="68" t="str">
        <f>IFERROR(MAX(0,GoalAsCount_Tbl[[#This Row],[Native American or Alaska Native Male]]-Count_Tbl[[#This Row],[Native American or Alaska Native Male]])," ")</f>
        <v xml:space="preserve"> </v>
      </c>
      <c r="R9" s="68" t="str">
        <f>IFERROR(MAX(0,GoalAsCount_Tbl[[#This Row],[Native American or Alaska Native Female]]-Count_Tbl[[#This Row],[Native American or Alaska Native Female]])," ")</f>
        <v xml:space="preserve"> </v>
      </c>
      <c r="S9" s="68" t="str">
        <f>IFERROR(MAX(0,GoalAsCount_Tbl[[#This Row],[White Non-Latinx]]-Count_Tbl[[#This Row],[White Non-Latinx]])," ")</f>
        <v xml:space="preserve"> </v>
      </c>
      <c r="T9" s="68" t="str">
        <f>IFERROR(MAX(0,GoalAsCount_Tbl[[#This Row],[White Non-Latinx Male]]-Count_Tbl[[#This Row],[White Non-Latinx Male]])," ")</f>
        <v xml:space="preserve"> </v>
      </c>
      <c r="U9" s="68" t="str">
        <f>IFERROR(MAX(0,GoalAsCount_Tbl[[#This Row],[White Non-Latinx Female]]-Count_Tbl[[#This Row],[White Non-Latinx Female]])," ")</f>
        <v xml:space="preserve"> </v>
      </c>
      <c r="V9" s="68" t="str">
        <f>IFERROR(MAX(0,GoalAsCount_Tbl[[#This Row],[Learners with Disabilities]]-Count_Tbl[[#This Row],[Learners with Disabilities]])," ")</f>
        <v xml:space="preserve"> </v>
      </c>
      <c r="W9" s="68" t="str">
        <f>IFERROR(MAX(0,GoalAsCount_Tbl[[#This Row],[Learners with Disabilities Male]]-Count_Tbl[[#This Row],[Learners with Disabilities Male]])," ")</f>
        <v xml:space="preserve"> </v>
      </c>
      <c r="X9" s="68" t="str">
        <f>IFERROR(MAX(0,GoalAsCount_Tbl[[#This Row],[Learners with Disabilities Female]]-Count_Tbl[[#This Row],[Learners with Disabilities Female]])," ")</f>
        <v xml:space="preserve"> </v>
      </c>
      <c r="Y9" s="68" t="str">
        <f>IFERROR(MAX(0,GoalAsCount_Tbl[[#This Row],[Economically Disadvantaged]]-Count_Tbl[[#This Row],[Economically Disadvantaged]])," ")</f>
        <v xml:space="preserve"> </v>
      </c>
      <c r="Z9" s="68" t="str">
        <f>IFERROR(MAX(0,GoalAsCount_Tbl[[#This Row],[Economically Disadvantaged Male]]-Count_Tbl[[#This Row],[Economically Disadvantaged Male]])," ")</f>
        <v xml:space="preserve"> </v>
      </c>
      <c r="AA9" s="68" t="str">
        <f>IFERROR(MAX(0,GoalAsCount_Tbl[[#This Row],[Economically Disadvantaged Female]]-Count_Tbl[[#This Row],[Economically Disadvantaged Female]])," ")</f>
        <v xml:space="preserve"> </v>
      </c>
      <c r="AB9" s="68" t="str">
        <f>IFERROR(MAX(0,GoalAsCount_Tbl[[#This Row],[English Learner]]-Count_Tbl[[#This Row],[English Learner]])," ")</f>
        <v xml:space="preserve"> </v>
      </c>
      <c r="AC9" s="68" t="str">
        <f>IFERROR(MAX(0,GoalAsCount_Tbl[[#This Row],[English Learner Male]]-Count_Tbl[[#This Row],[English Learner Male]])," ")</f>
        <v xml:space="preserve"> </v>
      </c>
      <c r="AD9" s="68" t="str">
        <f>IFERROR(MAX(0,GoalAsCount_Tbl[[#This Row],[English Learner Female]]-Count_Tbl[[#This Row],[English Learner Female]])," ")</f>
        <v xml:space="preserve"> </v>
      </c>
      <c r="AE9" s="68" t="str">
        <f>IFERROR(MAX(0,GoalAsCount_Tbl[[#This Row],[Migrant]]-Count_Tbl[[#This Row],[Migrant]])," ")</f>
        <v xml:space="preserve"> </v>
      </c>
      <c r="AF9" s="68" t="str">
        <f>IFERROR(MAX(0,GoalAsCount_Tbl[[#This Row],[Migrant Male]]-Count_Tbl[[#This Row],[Migrant Male]])," ")</f>
        <v xml:space="preserve"> </v>
      </c>
      <c r="AG9" s="68" t="str">
        <f>IFERROR(MAX(0,GoalAsCount_Tbl[[#This Row],[Migrant Female]]-Count_Tbl[[#This Row],[Migrant Female]])," ")</f>
        <v xml:space="preserve"> </v>
      </c>
    </row>
    <row r="10" spans="1:33" ht="18" customHeight="1" x14ac:dyDescent="0.2">
      <c r="A10" s="48" t="str">
        <f>Count_Tbl[[#This Row],[Column1]]</f>
        <v>Credential Completion</v>
      </c>
      <c r="B10" s="67" t="str">
        <f>IFERROR(MAX(0,GoalAsCount_Tbl[[#This Row],[Male]]-Count_Tbl[[#This Row],[Male]])," ")</f>
        <v xml:space="preserve"> </v>
      </c>
      <c r="C10" s="68" t="str">
        <f>IFERROR(MAX(0,GoalAsCount_Tbl[[#This Row],[Female]]-Count_Tbl[[#This Row],[Female]])," ")</f>
        <v xml:space="preserve"> </v>
      </c>
      <c r="D10" s="68" t="str">
        <f>IFERROR(MAX(0,GoalAsCount_Tbl[[#This Row],[Asian or Pacific Islander]]-Count_Tbl[[#This Row],[Asian or Pacific Islander]])," ")</f>
        <v xml:space="preserve"> </v>
      </c>
      <c r="E10" s="68" t="str">
        <f>IFERROR(MAX(0,GoalAsCount_Tbl[[#This Row],[Asian or Pacific Islander Male]]-Count_Tbl[[#This Row],[Asian or Pacific Islander Male]])," ")</f>
        <v xml:space="preserve"> </v>
      </c>
      <c r="F10" s="68" t="str">
        <f>IFERROR(MAX(0,GoalAsCount_Tbl[[#This Row],[Asian or Pacific Islander Female]]-Count_Tbl[[#This Row],[Asian or Pacific Islander Female]])," ")</f>
        <v xml:space="preserve"> </v>
      </c>
      <c r="G10" s="68" t="str">
        <f>IFERROR(MAX(0,GoalAsCount_Tbl[[#This Row],[Black Non-Latinx]]-Count_Tbl[[#This Row],[Black Non-Latinx]])," ")</f>
        <v xml:space="preserve"> </v>
      </c>
      <c r="H10" s="68" t="str">
        <f>IFERROR(MAX(0,GoalAsCount_Tbl[[#This Row],[Black Non-Latinx Male]]-Count_Tbl[[#This Row],[Black Non-Latinx Male]])," ")</f>
        <v xml:space="preserve"> </v>
      </c>
      <c r="I10" s="68" t="str">
        <f>IFERROR(MAX(0,GoalAsCount_Tbl[[#This Row],[Black Non-Latinx Female]]-Count_Tbl[[#This Row],[Black Non-Latinx Female]])," ")</f>
        <v xml:space="preserve"> </v>
      </c>
      <c r="J10" s="68" t="str">
        <f>IFERROR(MAX(0,GoalAsCount_Tbl[[#This Row],[Latinx]]-Count_Tbl[[#This Row],[Latinx]])," ")</f>
        <v xml:space="preserve"> </v>
      </c>
      <c r="K10" s="68" t="str">
        <f>IFERROR(MAX(0,GoalAsCount_Tbl[[#This Row],[Latinx Male]]-Count_Tbl[[#This Row],[Latinx Male]])," ")</f>
        <v xml:space="preserve"> </v>
      </c>
      <c r="L10" s="68" t="str">
        <f>IFERROR(MAX(0,GoalAsCount_Tbl[[#This Row],[Latinx Female]]-Count_Tbl[[#This Row],[Latinx Female]])," ")</f>
        <v xml:space="preserve"> </v>
      </c>
      <c r="M10" s="68" t="str">
        <f>IFERROR(MAX(0,,GoalAsCount_Tbl[[#This Row],[Multiracial]]-Count_Tbl[[#This Row],[Multiracial]])," ")</f>
        <v xml:space="preserve"> </v>
      </c>
      <c r="N10" s="68" t="str">
        <f>IFERROR(MAX(0,,GoalAsCount_Tbl[[#This Row],[Multiracial Male]]-Count_Tbl[[#This Row],[Multiracial Male]])," ")</f>
        <v xml:space="preserve"> </v>
      </c>
      <c r="O10" s="68" t="str">
        <f>IFERROR(MAX(0,GoalAsCount_Tbl[[#This Row],[Multiracial Female]]-Count_Tbl[[#This Row],[Multiracial Female]])," ")</f>
        <v xml:space="preserve"> </v>
      </c>
      <c r="P10" s="68" t="str">
        <f>IFERROR(MAX(0,GoalAsCount_Tbl[[#This Row],[Native American or Alaska Native]]-Count_Tbl[[#This Row],[Native American or Alaska Native]])," ")</f>
        <v xml:space="preserve"> </v>
      </c>
      <c r="Q10" s="68" t="str">
        <f>IFERROR(MAX(0,GoalAsCount_Tbl[[#This Row],[Native American or Alaska Native Male]]-Count_Tbl[[#This Row],[Native American or Alaska Native Male]])," ")</f>
        <v xml:space="preserve"> </v>
      </c>
      <c r="R10" s="68" t="str">
        <f>IFERROR(MAX(0,GoalAsCount_Tbl[[#This Row],[Native American or Alaska Native Female]]-Count_Tbl[[#This Row],[Native American or Alaska Native Female]])," ")</f>
        <v xml:space="preserve"> </v>
      </c>
      <c r="S10" s="68" t="str">
        <f>IFERROR(MAX(0,GoalAsCount_Tbl[[#This Row],[White Non-Latinx]]-Count_Tbl[[#This Row],[White Non-Latinx]])," ")</f>
        <v xml:space="preserve"> </v>
      </c>
      <c r="T10" s="68" t="str">
        <f>IFERROR(MAX(0,GoalAsCount_Tbl[[#This Row],[White Non-Latinx Male]]-Count_Tbl[[#This Row],[White Non-Latinx Male]])," ")</f>
        <v xml:space="preserve"> </v>
      </c>
      <c r="U10" s="68" t="str">
        <f>IFERROR(MAX(0,GoalAsCount_Tbl[[#This Row],[White Non-Latinx Female]]-Count_Tbl[[#This Row],[White Non-Latinx Female]])," ")</f>
        <v xml:space="preserve"> </v>
      </c>
      <c r="V10" s="68" t="str">
        <f>IFERROR(MAX(0,GoalAsCount_Tbl[[#This Row],[Learners with Disabilities]]-Count_Tbl[[#This Row],[Learners with Disabilities]])," ")</f>
        <v xml:space="preserve"> </v>
      </c>
      <c r="W10" s="68" t="str">
        <f>IFERROR(MAX(0,GoalAsCount_Tbl[[#This Row],[Learners with Disabilities Male]]-Count_Tbl[[#This Row],[Learners with Disabilities Male]])," ")</f>
        <v xml:space="preserve"> </v>
      </c>
      <c r="X10" s="68" t="str">
        <f>IFERROR(MAX(0,GoalAsCount_Tbl[[#This Row],[Learners with Disabilities Female]]-Count_Tbl[[#This Row],[Learners with Disabilities Female]])," ")</f>
        <v xml:space="preserve"> </v>
      </c>
      <c r="Y10" s="68" t="str">
        <f>IFERROR(MAX(0,GoalAsCount_Tbl[[#This Row],[Economically Disadvantaged]]-Count_Tbl[[#This Row],[Economically Disadvantaged]])," ")</f>
        <v xml:space="preserve"> </v>
      </c>
      <c r="Z10" s="68" t="str">
        <f>IFERROR(MAX(0,GoalAsCount_Tbl[[#This Row],[Economically Disadvantaged Male]]-Count_Tbl[[#This Row],[Economically Disadvantaged Male]])," ")</f>
        <v xml:space="preserve"> </v>
      </c>
      <c r="AA10" s="68" t="str">
        <f>IFERROR(MAX(0,GoalAsCount_Tbl[[#This Row],[Economically Disadvantaged Female]]-Count_Tbl[[#This Row],[Economically Disadvantaged Female]])," ")</f>
        <v xml:space="preserve"> </v>
      </c>
      <c r="AB10" s="68" t="str">
        <f>IFERROR(MAX(0,GoalAsCount_Tbl[[#This Row],[English Learner]]-Count_Tbl[[#This Row],[English Learner]])," ")</f>
        <v xml:space="preserve"> </v>
      </c>
      <c r="AC10" s="68" t="str">
        <f>IFERROR(MAX(0,GoalAsCount_Tbl[[#This Row],[English Learner Male]]-Count_Tbl[[#This Row],[English Learner Male]])," ")</f>
        <v xml:space="preserve"> </v>
      </c>
      <c r="AD10" s="68" t="str">
        <f>IFERROR(MAX(0,GoalAsCount_Tbl[[#This Row],[English Learner Female]]-Count_Tbl[[#This Row],[English Learner Female]])," ")</f>
        <v xml:space="preserve"> </v>
      </c>
      <c r="AE10" s="68" t="str">
        <f>IFERROR(MAX(0,GoalAsCount_Tbl[[#This Row],[Migrant]]-Count_Tbl[[#This Row],[Migrant]])," ")</f>
        <v xml:space="preserve"> </v>
      </c>
      <c r="AF10" s="68" t="str">
        <f>IFERROR(MAX(0,GoalAsCount_Tbl[[#This Row],[Migrant Male]]-Count_Tbl[[#This Row],[Migrant Male]])," ")</f>
        <v xml:space="preserve"> </v>
      </c>
      <c r="AG10" s="68" t="str">
        <f>IFERROR(MAX(0,GoalAsCount_Tbl[[#This Row],[Migrant Female]]-Count_Tbl[[#This Row],[Migrant Female]])," ")</f>
        <v xml:space="preserve"> </v>
      </c>
    </row>
    <row r="11" spans="1:33" ht="18" customHeight="1" x14ac:dyDescent="0.2">
      <c r="A11" s="48" t="str">
        <f>Count_Tbl[[#This Row],[Column1]]</f>
        <v>Placement</v>
      </c>
      <c r="B11" s="67" t="str">
        <f>IFERROR(MAX(0,GoalAsCount_Tbl[[#This Row],[Male]]-Count_Tbl[[#This Row],[Male]])," ")</f>
        <v xml:space="preserve"> </v>
      </c>
      <c r="C11" s="68" t="str">
        <f>IFERROR(MAX(0,GoalAsCount_Tbl[[#This Row],[Female]]-Count_Tbl[[#This Row],[Female]])," ")</f>
        <v xml:space="preserve"> </v>
      </c>
      <c r="D11" s="68" t="str">
        <f>IFERROR(MAX(0,GoalAsCount_Tbl[[#This Row],[Asian or Pacific Islander]]-Count_Tbl[[#This Row],[Asian or Pacific Islander]])," ")</f>
        <v xml:space="preserve"> </v>
      </c>
      <c r="E11" s="68" t="str">
        <f>IFERROR(MAX(0,GoalAsCount_Tbl[[#This Row],[Asian or Pacific Islander Male]]-Count_Tbl[[#This Row],[Asian or Pacific Islander Male]])," ")</f>
        <v xml:space="preserve"> </v>
      </c>
      <c r="F11" s="68" t="str">
        <f>IFERROR(MAX(0,GoalAsCount_Tbl[[#This Row],[Asian or Pacific Islander Female]]-Count_Tbl[[#This Row],[Asian or Pacific Islander Female]])," ")</f>
        <v xml:space="preserve"> </v>
      </c>
      <c r="G11" s="68" t="str">
        <f>IFERROR(MAX(0,GoalAsCount_Tbl[[#This Row],[Black Non-Latinx]]-Count_Tbl[[#This Row],[Black Non-Latinx]])," ")</f>
        <v xml:space="preserve"> </v>
      </c>
      <c r="H11" s="68" t="str">
        <f>IFERROR(MAX(0,GoalAsCount_Tbl[[#This Row],[Black Non-Latinx Male]]-Count_Tbl[[#This Row],[Black Non-Latinx Male]])," ")</f>
        <v xml:space="preserve"> </v>
      </c>
      <c r="I11" s="68" t="str">
        <f>IFERROR(MAX(0,GoalAsCount_Tbl[[#This Row],[Black Non-Latinx Female]]-Count_Tbl[[#This Row],[Black Non-Latinx Female]])," ")</f>
        <v xml:space="preserve"> </v>
      </c>
      <c r="J11" s="68" t="str">
        <f>IFERROR(MAX(0,GoalAsCount_Tbl[[#This Row],[Latinx]]-Count_Tbl[[#This Row],[Latinx]])," ")</f>
        <v xml:space="preserve"> </v>
      </c>
      <c r="K11" s="68" t="str">
        <f>IFERROR(MAX(0,GoalAsCount_Tbl[[#This Row],[Latinx Male]]-Count_Tbl[[#This Row],[Latinx Male]])," ")</f>
        <v xml:space="preserve"> </v>
      </c>
      <c r="L11" s="68" t="str">
        <f>IFERROR(MAX(0,GoalAsCount_Tbl[[#This Row],[Latinx Female]]-Count_Tbl[[#This Row],[Latinx Female]])," ")</f>
        <v xml:space="preserve"> </v>
      </c>
      <c r="M11" s="68" t="str">
        <f>IFERROR(MAX(0,,GoalAsCount_Tbl[[#This Row],[Multiracial]]-Count_Tbl[[#This Row],[Multiracial]])," ")</f>
        <v xml:space="preserve"> </v>
      </c>
      <c r="N11" s="68" t="str">
        <f>IFERROR(MAX(0,,GoalAsCount_Tbl[[#This Row],[Multiracial Male]]-Count_Tbl[[#This Row],[Multiracial Male]])," ")</f>
        <v xml:space="preserve"> </v>
      </c>
      <c r="O11" s="68" t="str">
        <f>IFERROR(MAX(0,GoalAsCount_Tbl[[#This Row],[Multiracial Female]]-Count_Tbl[[#This Row],[Multiracial Female]])," ")</f>
        <v xml:space="preserve"> </v>
      </c>
      <c r="P11" s="68" t="str">
        <f>IFERROR(MAX(0,GoalAsCount_Tbl[[#This Row],[Native American or Alaska Native]]-Count_Tbl[[#This Row],[Native American or Alaska Native]])," ")</f>
        <v xml:space="preserve"> </v>
      </c>
      <c r="Q11" s="68" t="str">
        <f>IFERROR(MAX(0,GoalAsCount_Tbl[[#This Row],[Native American or Alaska Native Male]]-Count_Tbl[[#This Row],[Native American or Alaska Native Male]])," ")</f>
        <v xml:space="preserve"> </v>
      </c>
      <c r="R11" s="68" t="str">
        <f>IFERROR(MAX(0,GoalAsCount_Tbl[[#This Row],[Native American or Alaska Native Female]]-Count_Tbl[[#This Row],[Native American or Alaska Native Female]])," ")</f>
        <v xml:space="preserve"> </v>
      </c>
      <c r="S11" s="68" t="str">
        <f>IFERROR(MAX(0,GoalAsCount_Tbl[[#This Row],[White Non-Latinx]]-Count_Tbl[[#This Row],[White Non-Latinx]])," ")</f>
        <v xml:space="preserve"> </v>
      </c>
      <c r="T11" s="68" t="str">
        <f>IFERROR(MAX(0,GoalAsCount_Tbl[[#This Row],[White Non-Latinx Male]]-Count_Tbl[[#This Row],[White Non-Latinx Male]])," ")</f>
        <v xml:space="preserve"> </v>
      </c>
      <c r="U11" s="68" t="str">
        <f>IFERROR(MAX(0,GoalAsCount_Tbl[[#This Row],[White Non-Latinx Female]]-Count_Tbl[[#This Row],[White Non-Latinx Female]])," ")</f>
        <v xml:space="preserve"> </v>
      </c>
      <c r="V11" s="68" t="str">
        <f>IFERROR(MAX(0,GoalAsCount_Tbl[[#This Row],[Learners with Disabilities]]-Count_Tbl[[#This Row],[Learners with Disabilities]])," ")</f>
        <v xml:space="preserve"> </v>
      </c>
      <c r="W11" s="68" t="str">
        <f>IFERROR(MAX(0,GoalAsCount_Tbl[[#This Row],[Learners with Disabilities Male]]-Count_Tbl[[#This Row],[Learners with Disabilities Male]])," ")</f>
        <v xml:space="preserve"> </v>
      </c>
      <c r="X11" s="68" t="str">
        <f>IFERROR(MAX(0,GoalAsCount_Tbl[[#This Row],[Learners with Disabilities Female]]-Count_Tbl[[#This Row],[Learners with Disabilities Female]])," ")</f>
        <v xml:space="preserve"> </v>
      </c>
      <c r="Y11" s="68" t="str">
        <f>IFERROR(MAX(0,GoalAsCount_Tbl[[#This Row],[Economically Disadvantaged]]-Count_Tbl[[#This Row],[Economically Disadvantaged]])," ")</f>
        <v xml:space="preserve"> </v>
      </c>
      <c r="Z11" s="68" t="str">
        <f>IFERROR(MAX(0,GoalAsCount_Tbl[[#This Row],[Economically Disadvantaged Male]]-Count_Tbl[[#This Row],[Economically Disadvantaged Male]])," ")</f>
        <v xml:space="preserve"> </v>
      </c>
      <c r="AA11" s="68" t="str">
        <f>IFERROR(MAX(0,GoalAsCount_Tbl[[#This Row],[Economically Disadvantaged Female]]-Count_Tbl[[#This Row],[Economically Disadvantaged Female]])," ")</f>
        <v xml:space="preserve"> </v>
      </c>
      <c r="AB11" s="68" t="str">
        <f>IFERROR(MAX(0,GoalAsCount_Tbl[[#This Row],[English Learner]]-Count_Tbl[[#This Row],[English Learner]])," ")</f>
        <v xml:space="preserve"> </v>
      </c>
      <c r="AC11" s="68" t="str">
        <f>IFERROR(MAX(0,GoalAsCount_Tbl[[#This Row],[English Learner Male]]-Count_Tbl[[#This Row],[English Learner Male]])," ")</f>
        <v xml:space="preserve"> </v>
      </c>
      <c r="AD11" s="68" t="str">
        <f>IFERROR(MAX(0,GoalAsCount_Tbl[[#This Row],[English Learner Female]]-Count_Tbl[[#This Row],[English Learner Female]])," ")</f>
        <v xml:space="preserve"> </v>
      </c>
      <c r="AE11" s="68" t="str">
        <f>IFERROR(MAX(0,GoalAsCount_Tbl[[#This Row],[Migrant]]-Count_Tbl[[#This Row],[Migrant]])," ")</f>
        <v xml:space="preserve"> </v>
      </c>
      <c r="AF11" s="68" t="str">
        <f>IFERROR(MAX(0,GoalAsCount_Tbl[[#This Row],[Migrant Male]]-Count_Tbl[[#This Row],[Migrant Male]])," ")</f>
        <v xml:space="preserve"> </v>
      </c>
      <c r="AG11" s="68" t="str">
        <f>IFERROR(MAX(0,GoalAsCount_Tbl[[#This Row],[Migrant Female]]-Count_Tbl[[#This Row],[Migrant Female]])," ")</f>
        <v xml:space="preserve"> </v>
      </c>
    </row>
    <row r="12" spans="1:33" ht="18" customHeight="1" x14ac:dyDescent="0.2">
      <c r="A12" s="48" t="str">
        <f>Count_Tbl[[#This Row],[Column1]]</f>
        <v>HWHD Placement</v>
      </c>
      <c r="B12" s="67" t="str">
        <f>IFERROR(MAX(0,GoalAsCount_Tbl[[#This Row],[Male]]-Count_Tbl[[#This Row],[Male]])," ")</f>
        <v xml:space="preserve"> </v>
      </c>
      <c r="C12" s="68" t="str">
        <f>IFERROR(MAX(0,GoalAsCount_Tbl[[#This Row],[Female]]-Count_Tbl[[#This Row],[Female]])," ")</f>
        <v xml:space="preserve"> </v>
      </c>
      <c r="D12" s="68" t="str">
        <f>IFERROR(MAX(0,GoalAsCount_Tbl[[#This Row],[Asian or Pacific Islander]]-Count_Tbl[[#This Row],[Asian or Pacific Islander]])," ")</f>
        <v xml:space="preserve"> </v>
      </c>
      <c r="E12" s="68" t="str">
        <f>IFERROR(MAX(0,GoalAsCount_Tbl[[#This Row],[Asian or Pacific Islander Male]]-Count_Tbl[[#This Row],[Asian or Pacific Islander Male]])," ")</f>
        <v xml:space="preserve"> </v>
      </c>
      <c r="F12" s="68" t="str">
        <f>IFERROR(MAX(0,GoalAsCount_Tbl[[#This Row],[Asian or Pacific Islander Female]]-Count_Tbl[[#This Row],[Asian or Pacific Islander Female]])," ")</f>
        <v xml:space="preserve"> </v>
      </c>
      <c r="G12" s="68" t="str">
        <f>IFERROR(MAX(0,GoalAsCount_Tbl[[#This Row],[Black Non-Latinx]]-Count_Tbl[[#This Row],[Black Non-Latinx]])," ")</f>
        <v xml:space="preserve"> </v>
      </c>
      <c r="H12" s="68" t="str">
        <f>IFERROR(MAX(0,GoalAsCount_Tbl[[#This Row],[Black Non-Latinx Male]]-Count_Tbl[[#This Row],[Black Non-Latinx Male]])," ")</f>
        <v xml:space="preserve"> </v>
      </c>
      <c r="I12" s="68" t="str">
        <f>IFERROR(MAX(0,GoalAsCount_Tbl[[#This Row],[Black Non-Latinx Female]]-Count_Tbl[[#This Row],[Black Non-Latinx Female]])," ")</f>
        <v xml:space="preserve"> </v>
      </c>
      <c r="J12" s="68" t="str">
        <f>IFERROR(MAX(0,GoalAsCount_Tbl[[#This Row],[Latinx]]-Count_Tbl[[#This Row],[Latinx]])," ")</f>
        <v xml:space="preserve"> </v>
      </c>
      <c r="K12" s="68" t="str">
        <f>IFERROR(MAX(0,GoalAsCount_Tbl[[#This Row],[Latinx Male]]-Count_Tbl[[#This Row],[Latinx Male]])," ")</f>
        <v xml:space="preserve"> </v>
      </c>
      <c r="L12" s="68" t="str">
        <f>IFERROR(MAX(0,GoalAsCount_Tbl[[#This Row],[Latinx Female]]-Count_Tbl[[#This Row],[Latinx Female]])," ")</f>
        <v xml:space="preserve"> </v>
      </c>
      <c r="M12" s="68" t="str">
        <f>IFERROR(MAX(0,,GoalAsCount_Tbl[[#This Row],[Multiracial]]-Count_Tbl[[#This Row],[Multiracial]])," ")</f>
        <v xml:space="preserve"> </v>
      </c>
      <c r="N12" s="68" t="str">
        <f>IFERROR(MAX(0,,GoalAsCount_Tbl[[#This Row],[Multiracial Male]]-Count_Tbl[[#This Row],[Multiracial Male]])," ")</f>
        <v xml:space="preserve"> </v>
      </c>
      <c r="O12" s="68" t="str">
        <f>IFERROR(MAX(0,GoalAsCount_Tbl[[#This Row],[Multiracial Female]]-Count_Tbl[[#This Row],[Multiracial Female]])," ")</f>
        <v xml:space="preserve"> </v>
      </c>
      <c r="P12" s="68" t="str">
        <f>IFERROR(MAX(0,GoalAsCount_Tbl[[#This Row],[Native American or Alaska Native]]-Count_Tbl[[#This Row],[Native American or Alaska Native]])," ")</f>
        <v xml:space="preserve"> </v>
      </c>
      <c r="Q12" s="68" t="str">
        <f>IFERROR(MAX(0,GoalAsCount_Tbl[[#This Row],[Native American or Alaska Native Male]]-Count_Tbl[[#This Row],[Native American or Alaska Native Male]])," ")</f>
        <v xml:space="preserve"> </v>
      </c>
      <c r="R12" s="68" t="str">
        <f>IFERROR(MAX(0,GoalAsCount_Tbl[[#This Row],[Native American or Alaska Native Female]]-Count_Tbl[[#This Row],[Native American or Alaska Native Female]])," ")</f>
        <v xml:space="preserve"> </v>
      </c>
      <c r="S12" s="68" t="str">
        <f>IFERROR(MAX(0,GoalAsCount_Tbl[[#This Row],[White Non-Latinx]]-Count_Tbl[[#This Row],[White Non-Latinx]])," ")</f>
        <v xml:space="preserve"> </v>
      </c>
      <c r="T12" s="68" t="str">
        <f>IFERROR(MAX(0,GoalAsCount_Tbl[[#This Row],[White Non-Latinx Male]]-Count_Tbl[[#This Row],[White Non-Latinx Male]])," ")</f>
        <v xml:space="preserve"> </v>
      </c>
      <c r="U12" s="68" t="str">
        <f>IFERROR(MAX(0,GoalAsCount_Tbl[[#This Row],[White Non-Latinx Female]]-Count_Tbl[[#This Row],[White Non-Latinx Female]])," ")</f>
        <v xml:space="preserve"> </v>
      </c>
      <c r="V12" s="68" t="str">
        <f>IFERROR(MAX(0,GoalAsCount_Tbl[[#This Row],[Learners with Disabilities]]-Count_Tbl[[#This Row],[Learners with Disabilities]])," ")</f>
        <v xml:space="preserve"> </v>
      </c>
      <c r="W12" s="68" t="str">
        <f>IFERROR(MAX(0,GoalAsCount_Tbl[[#This Row],[Learners with Disabilities Male]]-Count_Tbl[[#This Row],[Learners with Disabilities Male]])," ")</f>
        <v xml:space="preserve"> </v>
      </c>
      <c r="X12" s="68" t="str">
        <f>IFERROR(MAX(0,GoalAsCount_Tbl[[#This Row],[Learners with Disabilities Female]]-Count_Tbl[[#This Row],[Learners with Disabilities Female]])," ")</f>
        <v xml:space="preserve"> </v>
      </c>
      <c r="Y12" s="68" t="str">
        <f>IFERROR(MAX(0,GoalAsCount_Tbl[[#This Row],[Economically Disadvantaged]]-Count_Tbl[[#This Row],[Economically Disadvantaged]])," ")</f>
        <v xml:space="preserve"> </v>
      </c>
      <c r="Z12" s="68" t="str">
        <f>IFERROR(MAX(0,GoalAsCount_Tbl[[#This Row],[Economically Disadvantaged Male]]-Count_Tbl[[#This Row],[Economically Disadvantaged Male]])," ")</f>
        <v xml:space="preserve"> </v>
      </c>
      <c r="AA12" s="68" t="str">
        <f>IFERROR(MAX(0,GoalAsCount_Tbl[[#This Row],[Economically Disadvantaged Female]]-Count_Tbl[[#This Row],[Economically Disadvantaged Female]])," ")</f>
        <v xml:space="preserve"> </v>
      </c>
      <c r="AB12" s="68" t="str">
        <f>IFERROR(MAX(0,GoalAsCount_Tbl[[#This Row],[English Learner]]-Count_Tbl[[#This Row],[English Learner]])," ")</f>
        <v xml:space="preserve"> </v>
      </c>
      <c r="AC12" s="68" t="str">
        <f>IFERROR(MAX(0,GoalAsCount_Tbl[[#This Row],[English Learner Male]]-Count_Tbl[[#This Row],[English Learner Male]])," ")</f>
        <v xml:space="preserve"> </v>
      </c>
      <c r="AD12" s="68" t="str">
        <f>IFERROR(MAX(0,GoalAsCount_Tbl[[#This Row],[English Learner Female]]-Count_Tbl[[#This Row],[English Learner Female]])," ")</f>
        <v xml:space="preserve"> </v>
      </c>
      <c r="AE12" s="68" t="str">
        <f>IFERROR(MAX(0,GoalAsCount_Tbl[[#This Row],[Migrant]]-Count_Tbl[[#This Row],[Migrant]])," ")</f>
        <v xml:space="preserve"> </v>
      </c>
      <c r="AF12" s="68" t="str">
        <f>IFERROR(MAX(0,GoalAsCount_Tbl[[#This Row],[Migrant Male]]-Count_Tbl[[#This Row],[Migrant Male]])," ")</f>
        <v xml:space="preserve"> </v>
      </c>
      <c r="AG12" s="68" t="str">
        <f>IFERROR(MAX(0,GoalAsCount_Tbl[[#This Row],[Migrant Female]]-Count_Tbl[[#This Row],[Migrant Female]])," ")</f>
        <v xml:space="preserve"> </v>
      </c>
    </row>
    <row r="13" spans="1:33" ht="18" customHeight="1" x14ac:dyDescent="0.2">
      <c r="A13" s="48" t="str">
        <f>Count_Tbl[[#This Row],[Column1]]</f>
        <v>Wages</v>
      </c>
      <c r="B13" s="67" t="str">
        <f>IFERROR(MAX(0,GoalAsCount_Tbl[[#This Row],[Male]]-Count_Tbl[[#This Row],[Male]])," ")</f>
        <v xml:space="preserve"> </v>
      </c>
      <c r="C13" s="68" t="str">
        <f>IFERROR(MAX(0,GoalAsCount_Tbl[[#This Row],[Female]]-Count_Tbl[[#This Row],[Female]])," ")</f>
        <v xml:space="preserve"> </v>
      </c>
      <c r="D13" s="68" t="str">
        <f>IFERROR(MAX(0,GoalAsCount_Tbl[[#This Row],[Asian or Pacific Islander]]-Count_Tbl[[#This Row],[Asian or Pacific Islander]])," ")</f>
        <v xml:space="preserve"> </v>
      </c>
      <c r="E13" s="68" t="str">
        <f>IFERROR(MAX(0,GoalAsCount_Tbl[[#This Row],[Asian or Pacific Islander Male]]-Count_Tbl[[#This Row],[Asian or Pacific Islander Male]])," ")</f>
        <v xml:space="preserve"> </v>
      </c>
      <c r="F13" s="68" t="str">
        <f>IFERROR(MAX(0,GoalAsCount_Tbl[[#This Row],[Asian or Pacific Islander Female]]-Count_Tbl[[#This Row],[Asian or Pacific Islander Female]])," ")</f>
        <v xml:space="preserve"> </v>
      </c>
      <c r="G13" s="68" t="str">
        <f>IFERROR(MAX(0,GoalAsCount_Tbl[[#This Row],[Black Non-Latinx]]-Count_Tbl[[#This Row],[Black Non-Latinx]])," ")</f>
        <v xml:space="preserve"> </v>
      </c>
      <c r="H13" s="68" t="str">
        <f>IFERROR(MAX(0,GoalAsCount_Tbl[[#This Row],[Black Non-Latinx Male]]-Count_Tbl[[#This Row],[Black Non-Latinx Male]])," ")</f>
        <v xml:space="preserve"> </v>
      </c>
      <c r="I13" s="68" t="str">
        <f>IFERROR(MAX(0,GoalAsCount_Tbl[[#This Row],[Black Non-Latinx Female]]-Count_Tbl[[#This Row],[Black Non-Latinx Female]])," ")</f>
        <v xml:space="preserve"> </v>
      </c>
      <c r="J13" s="68" t="str">
        <f>IFERROR(MAX(0,GoalAsCount_Tbl[[#This Row],[Latinx]]-Count_Tbl[[#This Row],[Latinx]])," ")</f>
        <v xml:space="preserve"> </v>
      </c>
      <c r="K13" s="68" t="str">
        <f>IFERROR(MAX(0,GoalAsCount_Tbl[[#This Row],[Latinx Male]]-Count_Tbl[[#This Row],[Latinx Male]])," ")</f>
        <v xml:space="preserve"> </v>
      </c>
      <c r="L13" s="68" t="str">
        <f>IFERROR(MAX(0,GoalAsCount_Tbl[[#This Row],[Latinx Female]]-Count_Tbl[[#This Row],[Latinx Female]])," ")</f>
        <v xml:space="preserve"> </v>
      </c>
      <c r="M13" s="68" t="str">
        <f>IFERROR(MAX(0,,GoalAsCount_Tbl[[#This Row],[Multiracial]]-Count_Tbl[[#This Row],[Multiracial]])," ")</f>
        <v xml:space="preserve"> </v>
      </c>
      <c r="N13" s="68" t="str">
        <f>IFERROR(MAX(0,,GoalAsCount_Tbl[[#This Row],[Multiracial Male]]-Count_Tbl[[#This Row],[Multiracial Male]])," ")</f>
        <v xml:space="preserve"> </v>
      </c>
      <c r="O13" s="68" t="str">
        <f>IFERROR(MAX(0,GoalAsCount_Tbl[[#This Row],[Multiracial Female]]-Count_Tbl[[#This Row],[Multiracial Female]])," ")</f>
        <v xml:space="preserve"> </v>
      </c>
      <c r="P13" s="68" t="str">
        <f>IFERROR(MAX(0,GoalAsCount_Tbl[[#This Row],[Native American or Alaska Native]]-Count_Tbl[[#This Row],[Native American or Alaska Native]])," ")</f>
        <v xml:space="preserve"> </v>
      </c>
      <c r="Q13" s="68" t="str">
        <f>IFERROR(MAX(0,GoalAsCount_Tbl[[#This Row],[Native American or Alaska Native Male]]-Count_Tbl[[#This Row],[Native American or Alaska Native Male]])," ")</f>
        <v xml:space="preserve"> </v>
      </c>
      <c r="R13" s="68" t="str">
        <f>IFERROR(MAX(0,GoalAsCount_Tbl[[#This Row],[Native American or Alaska Native Female]]-Count_Tbl[[#This Row],[Native American or Alaska Native Female]])," ")</f>
        <v xml:space="preserve"> </v>
      </c>
      <c r="S13" s="68" t="str">
        <f>IFERROR(MAX(0,GoalAsCount_Tbl[[#This Row],[White Non-Latinx]]-Count_Tbl[[#This Row],[White Non-Latinx]])," ")</f>
        <v xml:space="preserve"> </v>
      </c>
      <c r="T13" s="68" t="str">
        <f>IFERROR(MAX(0,GoalAsCount_Tbl[[#This Row],[White Non-Latinx Male]]-Count_Tbl[[#This Row],[White Non-Latinx Male]])," ")</f>
        <v xml:space="preserve"> </v>
      </c>
      <c r="U13" s="68" t="str">
        <f>IFERROR(MAX(0,GoalAsCount_Tbl[[#This Row],[White Non-Latinx Female]]-Count_Tbl[[#This Row],[White Non-Latinx Female]])," ")</f>
        <v xml:space="preserve"> </v>
      </c>
      <c r="V13" s="68" t="str">
        <f>IFERROR(MAX(0,GoalAsCount_Tbl[[#This Row],[Learners with Disabilities]]-Count_Tbl[[#This Row],[Learners with Disabilities]])," ")</f>
        <v xml:space="preserve"> </v>
      </c>
      <c r="W13" s="68" t="str">
        <f>IFERROR(MAX(0,GoalAsCount_Tbl[[#This Row],[Learners with Disabilities Male]]-Count_Tbl[[#This Row],[Learners with Disabilities Male]])," ")</f>
        <v xml:space="preserve"> </v>
      </c>
      <c r="X13" s="68" t="str">
        <f>IFERROR(MAX(0,GoalAsCount_Tbl[[#This Row],[Learners with Disabilities Female]]-Count_Tbl[[#This Row],[Learners with Disabilities Female]])," ")</f>
        <v xml:space="preserve"> </v>
      </c>
      <c r="Y13" s="68" t="str">
        <f>IFERROR(MAX(0,GoalAsCount_Tbl[[#This Row],[Economically Disadvantaged]]-Count_Tbl[[#This Row],[Economically Disadvantaged]])," ")</f>
        <v xml:space="preserve"> </v>
      </c>
      <c r="Z13" s="68" t="str">
        <f>IFERROR(MAX(0,GoalAsCount_Tbl[[#This Row],[Economically Disadvantaged Male]]-Count_Tbl[[#This Row],[Economically Disadvantaged Male]])," ")</f>
        <v xml:space="preserve"> </v>
      </c>
      <c r="AA13" s="68" t="str">
        <f>IFERROR(MAX(0,GoalAsCount_Tbl[[#This Row],[Economically Disadvantaged Female]]-Count_Tbl[[#This Row],[Economically Disadvantaged Female]])," ")</f>
        <v xml:space="preserve"> </v>
      </c>
      <c r="AB13" s="68" t="str">
        <f>IFERROR(MAX(0,GoalAsCount_Tbl[[#This Row],[English Learner]]-Count_Tbl[[#This Row],[English Learner]])," ")</f>
        <v xml:space="preserve"> </v>
      </c>
      <c r="AC13" s="68" t="str">
        <f>IFERROR(MAX(0,GoalAsCount_Tbl[[#This Row],[English Learner Male]]-Count_Tbl[[#This Row],[English Learner Male]])," ")</f>
        <v xml:space="preserve"> </v>
      </c>
      <c r="AD13" s="68" t="str">
        <f>IFERROR(MAX(0,GoalAsCount_Tbl[[#This Row],[English Learner Female]]-Count_Tbl[[#This Row],[English Learner Female]])," ")</f>
        <v xml:space="preserve"> </v>
      </c>
      <c r="AE13" s="68" t="str">
        <f>IFERROR(MAX(0,GoalAsCount_Tbl[[#This Row],[Migrant]]-Count_Tbl[[#This Row],[Migrant]])," ")</f>
        <v xml:space="preserve"> </v>
      </c>
      <c r="AF13" s="68" t="str">
        <f>IFERROR(MAX(0,GoalAsCount_Tbl[[#This Row],[Migrant Male]]-Count_Tbl[[#This Row],[Migrant Male]])," ")</f>
        <v xml:space="preserve"> </v>
      </c>
      <c r="AG13" s="68" t="str">
        <f>IFERROR(MAX(0,GoalAsCount_Tbl[[#This Row],[Migrant Female]]-Count_Tbl[[#This Row],[Migrant Female]])," ")</f>
        <v xml:space="preserve"> </v>
      </c>
    </row>
    <row r="14" spans="1:33" ht="18" customHeight="1" x14ac:dyDescent="0.2">
      <c r="A14" s="48" t="str">
        <f>Count_Tbl[[#This Row],[Column1]]</f>
        <v>HWHD Wages</v>
      </c>
      <c r="B14" s="67" t="str">
        <f>IFERROR(MAX(0,GoalAsCount_Tbl[[#This Row],[Male]]-Count_Tbl[[#This Row],[Male]])," ")</f>
        <v xml:space="preserve"> </v>
      </c>
      <c r="C14" s="69" t="str">
        <f>IFERROR(MAX(0,GoalAsCount_Tbl[[#This Row],[Female]]-Count_Tbl[[#This Row],[Female]])," ")</f>
        <v xml:space="preserve"> </v>
      </c>
      <c r="D14" s="69" t="str">
        <f>IFERROR(MAX(0,GoalAsCount_Tbl[[#This Row],[Asian or Pacific Islander]]-Count_Tbl[[#This Row],[Asian or Pacific Islander]])," ")</f>
        <v xml:space="preserve"> </v>
      </c>
      <c r="E14" s="69" t="str">
        <f>IFERROR(MAX(0,GoalAsCount_Tbl[[#This Row],[Asian or Pacific Islander Male]]-Count_Tbl[[#This Row],[Asian or Pacific Islander Male]])," ")</f>
        <v xml:space="preserve"> </v>
      </c>
      <c r="F14" s="69" t="str">
        <f>IFERROR(MAX(0,GoalAsCount_Tbl[[#This Row],[Asian or Pacific Islander Female]]-Count_Tbl[[#This Row],[Asian or Pacific Islander Female]])," ")</f>
        <v xml:space="preserve"> </v>
      </c>
      <c r="G14" s="69" t="str">
        <f>IFERROR(MAX(0,GoalAsCount_Tbl[[#This Row],[Black Non-Latinx]]-Count_Tbl[[#This Row],[Black Non-Latinx]])," ")</f>
        <v xml:space="preserve"> </v>
      </c>
      <c r="H14" s="69" t="str">
        <f>IFERROR(MAX(0,GoalAsCount_Tbl[[#This Row],[Black Non-Latinx Male]]-Count_Tbl[[#This Row],[Black Non-Latinx Male]])," ")</f>
        <v xml:space="preserve"> </v>
      </c>
      <c r="I14" s="69" t="str">
        <f>IFERROR(MAX(0,GoalAsCount_Tbl[[#This Row],[Black Non-Latinx Female]]-Count_Tbl[[#This Row],[Black Non-Latinx Female]])," ")</f>
        <v xml:space="preserve"> </v>
      </c>
      <c r="J14" s="69" t="str">
        <f>IFERROR(MAX(0,GoalAsCount_Tbl[[#This Row],[Latinx]]-Count_Tbl[[#This Row],[Latinx]])," ")</f>
        <v xml:space="preserve"> </v>
      </c>
      <c r="K14" s="69" t="str">
        <f>IFERROR(MAX(0,GoalAsCount_Tbl[[#This Row],[Latinx Male]]-Count_Tbl[[#This Row],[Latinx Male]])," ")</f>
        <v xml:space="preserve"> </v>
      </c>
      <c r="L14" s="69" t="str">
        <f>IFERROR(MAX(0,GoalAsCount_Tbl[[#This Row],[Latinx Female]]-Count_Tbl[[#This Row],[Latinx Female]])," ")</f>
        <v xml:space="preserve"> </v>
      </c>
      <c r="M14" s="69" t="str">
        <f>IFERROR(MAX(0,,GoalAsCount_Tbl[[#This Row],[Multiracial]]-Count_Tbl[[#This Row],[Multiracial]])," ")</f>
        <v xml:space="preserve"> </v>
      </c>
      <c r="N14" s="69" t="str">
        <f>IFERROR(MAX(0,,GoalAsCount_Tbl[[#This Row],[Multiracial Male]]-Count_Tbl[[#This Row],[Multiracial Male]])," ")</f>
        <v xml:space="preserve"> </v>
      </c>
      <c r="O14" s="69" t="str">
        <f>IFERROR(MAX(0,GoalAsCount_Tbl[[#This Row],[Multiracial Female]]-Count_Tbl[[#This Row],[Multiracial Female]])," ")</f>
        <v xml:space="preserve"> </v>
      </c>
      <c r="P14" s="69" t="str">
        <f>IFERROR(MAX(0,GoalAsCount_Tbl[[#This Row],[Native American or Alaska Native]]-Count_Tbl[[#This Row],[Native American or Alaska Native]])," ")</f>
        <v xml:space="preserve"> </v>
      </c>
      <c r="Q14" s="69" t="str">
        <f>IFERROR(MAX(0,GoalAsCount_Tbl[[#This Row],[Native American or Alaska Native Male]]-Count_Tbl[[#This Row],[Native American or Alaska Native Male]])," ")</f>
        <v xml:space="preserve"> </v>
      </c>
      <c r="R14" s="69" t="str">
        <f>IFERROR(MAX(0,GoalAsCount_Tbl[[#This Row],[Native American or Alaska Native Female]]-Count_Tbl[[#This Row],[Native American or Alaska Native Female]])," ")</f>
        <v xml:space="preserve"> </v>
      </c>
      <c r="S14" s="69" t="str">
        <f>IFERROR(MAX(0,GoalAsCount_Tbl[[#This Row],[White Non-Latinx]]-Count_Tbl[[#This Row],[White Non-Latinx]])," ")</f>
        <v xml:space="preserve"> </v>
      </c>
      <c r="T14" s="69" t="str">
        <f>IFERROR(MAX(0,GoalAsCount_Tbl[[#This Row],[White Non-Latinx Male]]-Count_Tbl[[#This Row],[White Non-Latinx Male]])," ")</f>
        <v xml:space="preserve"> </v>
      </c>
      <c r="U14" s="69" t="str">
        <f>IFERROR(MAX(0,GoalAsCount_Tbl[[#This Row],[White Non-Latinx Female]]-Count_Tbl[[#This Row],[White Non-Latinx Female]])," ")</f>
        <v xml:space="preserve"> </v>
      </c>
      <c r="V14" s="69" t="str">
        <f>IFERROR(MAX(0,GoalAsCount_Tbl[[#This Row],[Learners with Disabilities]]-Count_Tbl[[#This Row],[Learners with Disabilities]])," ")</f>
        <v xml:space="preserve"> </v>
      </c>
      <c r="W14" s="69" t="str">
        <f>IFERROR(MAX(0,GoalAsCount_Tbl[[#This Row],[Learners with Disabilities Male]]-Count_Tbl[[#This Row],[Learners with Disabilities Male]])," ")</f>
        <v xml:space="preserve"> </v>
      </c>
      <c r="X14" s="69" t="str">
        <f>IFERROR(MAX(0,GoalAsCount_Tbl[[#This Row],[Learners with Disabilities Female]]-Count_Tbl[[#This Row],[Learners with Disabilities Female]])," ")</f>
        <v xml:space="preserve"> </v>
      </c>
      <c r="Y14" s="69" t="str">
        <f>IFERROR(MAX(0,GoalAsCount_Tbl[[#This Row],[Economically Disadvantaged]]-Count_Tbl[[#This Row],[Economically Disadvantaged]])," ")</f>
        <v xml:space="preserve"> </v>
      </c>
      <c r="Z14" s="69" t="str">
        <f>IFERROR(MAX(0,GoalAsCount_Tbl[[#This Row],[Economically Disadvantaged Male]]-Count_Tbl[[#This Row],[Economically Disadvantaged Male]])," ")</f>
        <v xml:space="preserve"> </v>
      </c>
      <c r="AA14" s="69" t="str">
        <f>IFERROR(MAX(0,GoalAsCount_Tbl[[#This Row],[Economically Disadvantaged Female]]-Count_Tbl[[#This Row],[Economically Disadvantaged Female]])," ")</f>
        <v xml:space="preserve"> </v>
      </c>
      <c r="AB14" s="69" t="str">
        <f>IFERROR(MAX(0,GoalAsCount_Tbl[[#This Row],[English Learner]]-Count_Tbl[[#This Row],[English Learner]])," ")</f>
        <v xml:space="preserve"> </v>
      </c>
      <c r="AC14" s="69" t="str">
        <f>IFERROR(MAX(0,GoalAsCount_Tbl[[#This Row],[English Learner Male]]-Count_Tbl[[#This Row],[English Learner Male]])," ")</f>
        <v xml:space="preserve"> </v>
      </c>
      <c r="AD14" s="69" t="str">
        <f>IFERROR(MAX(0,GoalAsCount_Tbl[[#This Row],[English Learner Female]]-Count_Tbl[[#This Row],[English Learner Female]])," ")</f>
        <v xml:space="preserve"> </v>
      </c>
      <c r="AE14" s="69" t="str">
        <f>IFERROR(MAX(0,GoalAsCount_Tbl[[#This Row],[Migrant]]-Count_Tbl[[#This Row],[Migrant]])," ")</f>
        <v xml:space="preserve"> </v>
      </c>
      <c r="AF14" s="69" t="str">
        <f>IFERROR(MAX(0,GoalAsCount_Tbl[[#This Row],[Migrant Male]]-Count_Tbl[[#This Row],[Migrant Male]])," ")</f>
        <v xml:space="preserve"> </v>
      </c>
      <c r="AG14" s="69" t="str">
        <f>IFERROR(MAX(0,GoalAsCount_Tbl[[#This Row],[Migrant Female]]-Count_Tbl[[#This Row],[Migrant Female]])," ")</f>
        <v xml:space="preserve"> </v>
      </c>
    </row>
    <row r="15" spans="1:33" ht="14.25" customHeight="1" x14ac:dyDescent="0.1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row>
    <row r="16" spans="1:33" ht="35" hidden="1" customHeight="1" x14ac:dyDescent="0.15">
      <c r="A16" s="27" t="s">
        <v>34</v>
      </c>
      <c r="B16" s="27" t="str">
        <f>INDEX(RemainCntToGoal_Tbl[Male],MATCH(Ind_Filter,'Counts Entered by User'!$A$4:$A$14,0))</f>
        <v xml:space="preserve"> </v>
      </c>
      <c r="C16" s="27" t="str">
        <f>INDEX(RemainCntToGoal_Tbl[Female],MATCH(Ind_Filter,'Counts Entered by User'!$A$4:$A$14,0))</f>
        <v xml:space="preserve"> </v>
      </c>
      <c r="D16" s="27" t="str">
        <f>INDEX(RemainCntToGoal_Tbl[Asian or Pacific Islander],MATCH(Ind_Filter,'Counts Entered by User'!$A$4:$A$14,0))</f>
        <v xml:space="preserve"> </v>
      </c>
      <c r="E16" s="27" t="str">
        <f>INDEX(RemainCntToGoal_Tbl[Asian or Pacific Islander Male],MATCH(Ind_Filter,'Counts Entered by User'!$A$4:$A$14,0))</f>
        <v xml:space="preserve"> </v>
      </c>
      <c r="F16" s="27" t="str">
        <f>INDEX(RemainCntToGoal_Tbl[Asian or Pacific Islander Female],MATCH(Ind_Filter,'Counts Entered by User'!$A$4:$A$14,0))</f>
        <v xml:space="preserve"> </v>
      </c>
      <c r="G16" s="27" t="str">
        <f>INDEX(RemainCntToGoal_Tbl[Black Non-Latinx],MATCH(Ind_Filter,'Counts Entered by User'!$A$4:$A$14,0))</f>
        <v xml:space="preserve"> </v>
      </c>
      <c r="H16" s="27" t="str">
        <f>INDEX(RemainCntToGoal_Tbl[Black Non-Latinx Male],MATCH(Ind_Filter,'Counts Entered by User'!$A$4:$A$14,0))</f>
        <v xml:space="preserve"> </v>
      </c>
      <c r="I16" s="27" t="str">
        <f>INDEX(RemainCntToGoal_Tbl[Black Non-Latinx Female],MATCH(Ind_Filter,'Counts Entered by User'!$A$4:$A$14,0))</f>
        <v xml:space="preserve"> </v>
      </c>
      <c r="J16" s="27" t="str">
        <f>INDEX(RemainCntToGoal_Tbl[Latinx],MATCH(Ind_Filter,'Counts Entered by User'!$A$4:$A$14,0))</f>
        <v xml:space="preserve"> </v>
      </c>
      <c r="K16" s="27" t="str">
        <f>INDEX(RemainCntToGoal_Tbl[Latinx Male],MATCH(Ind_Filter,'Counts Entered by User'!$A$4:$A$14,0))</f>
        <v xml:space="preserve"> </v>
      </c>
      <c r="L16" s="27" t="str">
        <f>INDEX(RemainCntToGoal_Tbl[Latinx Female],MATCH(Ind_Filter,'Counts Entered by User'!$A$4:$A$14,0))</f>
        <v xml:space="preserve"> </v>
      </c>
      <c r="M16" s="27" t="str">
        <f>INDEX(RemainCntToGoal_Tbl[Multiracial],MATCH(Ind_Filter,'Counts Entered by User'!$A$4:$A$14,0))</f>
        <v xml:space="preserve"> </v>
      </c>
      <c r="N16" s="27" t="str">
        <f>INDEX(RemainCntToGoal_Tbl[Multiracial Male],MATCH(Ind_Filter,'Counts Entered by User'!$A$4:$A$14,0))</f>
        <v xml:space="preserve"> </v>
      </c>
      <c r="O16" s="27" t="str">
        <f>INDEX(RemainCntToGoal_Tbl[Multiracial Female],MATCH(Ind_Filter,'Counts Entered by User'!$A$4:$A$14,0))</f>
        <v xml:space="preserve"> </v>
      </c>
      <c r="P16" s="27" t="str">
        <f>INDEX(RemainCntToGoal_Tbl[Native American or Alaska Native],MATCH(Ind_Filter,'Counts Entered by User'!$A$4:$A$14,0))</f>
        <v xml:space="preserve"> </v>
      </c>
      <c r="Q16" s="27" t="str">
        <f>INDEX(RemainCntToGoal_Tbl[Native American or Alaska Native Male],MATCH(Ind_Filter,'Counts Entered by User'!$A$4:$A$14,0))</f>
        <v xml:space="preserve"> </v>
      </c>
      <c r="R16" s="27" t="str">
        <f>INDEX(RemainCntToGoal_Tbl[Native American or Alaska Native Female],MATCH(Ind_Filter,'Counts Entered by User'!$A$4:$A$14,0))</f>
        <v xml:space="preserve"> </v>
      </c>
      <c r="S16" s="27" t="str">
        <f>INDEX(RemainCntToGoal_Tbl[White Non-Latinx],MATCH(Ind_Filter,'Counts Entered by User'!$A$4:$A$14,0))</f>
        <v xml:space="preserve"> </v>
      </c>
      <c r="T16" s="27" t="str">
        <f>INDEX(RemainCntToGoal_Tbl[White Non-Latinx Male],MATCH(Ind_Filter,'Counts Entered by User'!$A$4:$A$14,0))</f>
        <v xml:space="preserve"> </v>
      </c>
      <c r="U16" s="27" t="str">
        <f>INDEX(RemainCntToGoal_Tbl[White Non-Latinx Female],MATCH(Ind_Filter,'Counts Entered by User'!$A$4:$A$14,0))</f>
        <v xml:space="preserve"> </v>
      </c>
      <c r="V16" s="27" t="str">
        <f>INDEX(RemainCntToGoal_Tbl[Learners with Disabilities],MATCH(Ind_Filter,'Counts Entered by User'!$A$4:$A$14,0))</f>
        <v xml:space="preserve"> </v>
      </c>
      <c r="W16" s="27" t="str">
        <f>INDEX(RemainCntToGoal_Tbl[Learners with Disabilities Male],MATCH(Ind_Filter,'Counts Entered by User'!$A$4:$A$14,0))</f>
        <v xml:space="preserve"> </v>
      </c>
      <c r="X16" s="27" t="str">
        <f>INDEX(RemainCntToGoal_Tbl[Learners with Disabilities Female],MATCH(Ind_Filter,'Counts Entered by User'!$A$4:$A$14,0))</f>
        <v xml:space="preserve"> </v>
      </c>
      <c r="Y16" s="27" t="str">
        <f>INDEX(RemainCntToGoal_Tbl[Economically Disadvantaged],MATCH(Ind_Filter,'Counts Entered by User'!$A$4:$A$14,0))</f>
        <v xml:space="preserve"> </v>
      </c>
      <c r="Z16" s="27" t="str">
        <f>INDEX(RemainCntToGoal_Tbl[Economically Disadvantaged Male],MATCH(Ind_Filter,'Counts Entered by User'!$A$4:$A$14,0))</f>
        <v xml:space="preserve"> </v>
      </c>
      <c r="AA16" s="27" t="str">
        <f>INDEX(RemainCntToGoal_Tbl[Economically Disadvantaged Female],MATCH(Ind_Filter,'Counts Entered by User'!$A$4:$A$14,0))</f>
        <v xml:space="preserve"> </v>
      </c>
      <c r="AB16" s="27" t="str">
        <f>INDEX(RemainCntToGoal_Tbl[English Learner],MATCH(Ind_Filter,'Counts Entered by User'!$A$4:$A$14,0))</f>
        <v xml:space="preserve"> </v>
      </c>
      <c r="AC16" s="27" t="str">
        <f>INDEX(RemainCntToGoal_Tbl[English Learner Male],MATCH(Ind_Filter,'Counts Entered by User'!$A$4:$A$14,0))</f>
        <v xml:space="preserve"> </v>
      </c>
      <c r="AD16" s="27" t="str">
        <f>INDEX(RemainCntToGoal_Tbl[English Learner Female],MATCH(Ind_Filter,'Counts Entered by User'!$A$4:$A$14,0))</f>
        <v xml:space="preserve"> </v>
      </c>
      <c r="AE16" s="27" t="str">
        <f>INDEX(RemainCntToGoal_Tbl[Migrant],MATCH(Ind_Filter,'Counts Entered by User'!$A$4:$A$14,0))</f>
        <v xml:space="preserve"> </v>
      </c>
      <c r="AF16" s="27" t="str">
        <f>INDEX(RemainCntToGoal_Tbl[Migrant Male],MATCH(Ind_Filter,'Counts Entered by User'!$A$4:$A$14,0))</f>
        <v xml:space="preserve"> </v>
      </c>
      <c r="AG16" s="27" t="str">
        <f>INDEX(RemainCntToGoal_Tbl[Migrant Female],MATCH(Ind_Filter,'Counts Entered by User'!$A$4:$A$14,0))</f>
        <v xml:space="preserve"> </v>
      </c>
    </row>
    <row r="17" spans="1:33" ht="14.25" hidden="1" customHeight="1" x14ac:dyDescent="0.15">
      <c r="A17" s="27" t="s">
        <v>45</v>
      </c>
      <c r="B17" s="27" t="str">
        <f>IF(AND(ISNUMBER(B16),B16=0),"Goal Met",B16)</f>
        <v xml:space="preserve"> </v>
      </c>
      <c r="C17" s="27" t="str">
        <f t="shared" ref="C17:AG17" si="0">IF(AND(ISNUMBER(C16),C16=0),"Goal Met",C16)</f>
        <v xml:space="preserve"> </v>
      </c>
      <c r="D17" s="27" t="str">
        <f t="shared" si="0"/>
        <v xml:space="preserve"> </v>
      </c>
      <c r="E17" s="27" t="str">
        <f t="shared" si="0"/>
        <v xml:space="preserve"> </v>
      </c>
      <c r="F17" s="27" t="str">
        <f t="shared" si="0"/>
        <v xml:space="preserve"> </v>
      </c>
      <c r="G17" s="27" t="str">
        <f t="shared" si="0"/>
        <v xml:space="preserve"> </v>
      </c>
      <c r="H17" s="27" t="str">
        <f t="shared" si="0"/>
        <v xml:space="preserve"> </v>
      </c>
      <c r="I17" s="27" t="str">
        <f t="shared" si="0"/>
        <v xml:space="preserve"> </v>
      </c>
      <c r="J17" s="27" t="str">
        <f t="shared" si="0"/>
        <v xml:space="preserve"> </v>
      </c>
      <c r="K17" s="27" t="str">
        <f t="shared" si="0"/>
        <v xml:space="preserve"> </v>
      </c>
      <c r="L17" s="27" t="str">
        <f t="shared" si="0"/>
        <v xml:space="preserve"> </v>
      </c>
      <c r="M17" s="27" t="str">
        <f t="shared" si="0"/>
        <v xml:space="preserve"> </v>
      </c>
      <c r="N17" s="27" t="str">
        <f t="shared" si="0"/>
        <v xml:space="preserve"> </v>
      </c>
      <c r="O17" s="27" t="str">
        <f t="shared" si="0"/>
        <v xml:space="preserve"> </v>
      </c>
      <c r="P17" s="27" t="str">
        <f t="shared" si="0"/>
        <v xml:space="preserve"> </v>
      </c>
      <c r="Q17" s="27" t="str">
        <f t="shared" si="0"/>
        <v xml:space="preserve"> </v>
      </c>
      <c r="R17" s="27" t="str">
        <f t="shared" si="0"/>
        <v xml:space="preserve"> </v>
      </c>
      <c r="S17" s="27" t="str">
        <f t="shared" si="0"/>
        <v xml:space="preserve"> </v>
      </c>
      <c r="T17" s="27" t="str">
        <f t="shared" si="0"/>
        <v xml:space="preserve"> </v>
      </c>
      <c r="U17" s="27" t="str">
        <f t="shared" si="0"/>
        <v xml:space="preserve"> </v>
      </c>
      <c r="V17" s="27" t="str">
        <f t="shared" si="0"/>
        <v xml:space="preserve"> </v>
      </c>
      <c r="W17" s="27" t="str">
        <f t="shared" si="0"/>
        <v xml:space="preserve"> </v>
      </c>
      <c r="X17" s="27" t="str">
        <f t="shared" si="0"/>
        <v xml:space="preserve"> </v>
      </c>
      <c r="Y17" s="27" t="str">
        <f t="shared" si="0"/>
        <v xml:space="preserve"> </v>
      </c>
      <c r="Z17" s="27" t="str">
        <f t="shared" si="0"/>
        <v xml:space="preserve"> </v>
      </c>
      <c r="AA17" s="27" t="str">
        <f t="shared" si="0"/>
        <v xml:space="preserve"> </v>
      </c>
      <c r="AB17" s="27" t="str">
        <f t="shared" si="0"/>
        <v xml:space="preserve"> </v>
      </c>
      <c r="AC17" s="27" t="str">
        <f t="shared" si="0"/>
        <v xml:space="preserve"> </v>
      </c>
      <c r="AD17" s="27" t="str">
        <f t="shared" si="0"/>
        <v xml:space="preserve"> </v>
      </c>
      <c r="AE17" s="27" t="str">
        <f t="shared" si="0"/>
        <v xml:space="preserve"> </v>
      </c>
      <c r="AF17" s="27" t="str">
        <f t="shared" si="0"/>
        <v xml:space="preserve"> </v>
      </c>
      <c r="AG17" s="27" t="str">
        <f t="shared" si="0"/>
        <v xml:space="preserve"> </v>
      </c>
    </row>
    <row r="18" spans="1:33" ht="14.25" customHeight="1" x14ac:dyDescent="0.15">
      <c r="A18" s="27"/>
      <c r="B18" s="27"/>
      <c r="C18" s="27"/>
      <c r="D18" s="27"/>
      <c r="E18" s="27"/>
      <c r="F18" s="27"/>
      <c r="G18" s="27"/>
      <c r="H18" s="70"/>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71"/>
    </row>
    <row r="19" spans="1:33" ht="14" x14ac:dyDescent="0.1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71"/>
    </row>
    <row r="20" spans="1:33" ht="34" x14ac:dyDescent="0.2">
      <c r="A20" s="183" t="s">
        <v>118</v>
      </c>
      <c r="B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71"/>
    </row>
    <row r="21" spans="1:33" ht="19" customHeight="1" x14ac:dyDescent="0.15">
      <c r="A21" s="184" t="s">
        <v>27</v>
      </c>
      <c r="B21" s="27"/>
      <c r="C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71"/>
    </row>
    <row r="22" spans="1:33" ht="19" customHeight="1" x14ac:dyDescent="0.15">
      <c r="A22" s="185" t="s">
        <v>40</v>
      </c>
      <c r="B22" s="27"/>
      <c r="C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71"/>
    </row>
    <row r="23" spans="1:33" ht="19" customHeight="1" x14ac:dyDescent="0.15">
      <c r="A23" s="186" t="s">
        <v>41</v>
      </c>
      <c r="B23" s="27"/>
      <c r="C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71"/>
    </row>
    <row r="24" spans="1:33" ht="19" customHeight="1" x14ac:dyDescent="0.15">
      <c r="A24" s="187" t="s">
        <v>42</v>
      </c>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71"/>
    </row>
    <row r="25" spans="1:33" ht="19" customHeight="1" x14ac:dyDescent="0.15">
      <c r="A25" s="188" t="s">
        <v>43</v>
      </c>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71"/>
    </row>
    <row r="26" spans="1:33" ht="14.25" customHeight="1" x14ac:dyDescent="0.1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row>
    <row r="27" spans="1:33" ht="14.25" customHeight="1" x14ac:dyDescent="0.1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row>
    <row r="28" spans="1:33" ht="14.25" customHeight="1" x14ac:dyDescent="0.1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row>
    <row r="29" spans="1:33" ht="14" x14ac:dyDescent="0.1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row>
    <row r="30" spans="1:33" ht="14.25" customHeight="1" x14ac:dyDescent="0.1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row>
    <row r="31" spans="1:33" ht="14" x14ac:dyDescent="0.1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row>
    <row r="32" spans="1:33" ht="14.25" customHeight="1" x14ac:dyDescent="0.1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row>
    <row r="33" spans="1:33" ht="14.25" customHeight="1"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row>
    <row r="34" spans="1:33" ht="14"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row>
    <row r="35" spans="1:33" ht="14.25" customHeight="1"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row>
    <row r="36" spans="1:33" ht="14.25" customHeight="1"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row>
    <row r="37" spans="1:33" ht="14.25" customHeight="1"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row>
    <row r="38" spans="1:33" ht="14.25" customHeight="1"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row>
    <row r="39" spans="1:33" ht="14"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row>
    <row r="40" spans="1:33" ht="14.25" customHeight="1"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row>
    <row r="41" spans="1:33" ht="14.25" customHeight="1"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row>
    <row r="42" spans="1:33" ht="14.25" customHeight="1"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row>
    <row r="43" spans="1:33" ht="14.25" customHeight="1"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row>
    <row r="44" spans="1:33" ht="14.25" customHeight="1"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row>
    <row r="45" spans="1:33" ht="14.25" customHeight="1"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row>
    <row r="46" spans="1:33" ht="14.25" customHeight="1" x14ac:dyDescent="0.1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row>
    <row r="47" spans="1:33" ht="14.25" customHeight="1"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row>
    <row r="48" spans="1:33" ht="14.25" customHeight="1"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row>
    <row r="49" spans="1:33" ht="14.25" customHeight="1" x14ac:dyDescent="0.1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row>
    <row r="50" spans="1:33" ht="14.25" customHeight="1"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row>
    <row r="51" spans="1:33" ht="14.25" customHeight="1"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row>
    <row r="52" spans="1:33" ht="14.25" customHeight="1"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row>
    <row r="53" spans="1:33" ht="14.25" customHeight="1"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row>
    <row r="54" spans="1:33" ht="14.25" customHeight="1" x14ac:dyDescent="0.1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row>
    <row r="55" spans="1:33" ht="14.25" customHeight="1"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row>
    <row r="56" spans="1:33" ht="14.25" customHeight="1"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row>
    <row r="57" spans="1:33" ht="14.25" customHeight="1"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row>
    <row r="58" spans="1:33" ht="14.25" customHeight="1"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row>
    <row r="59" spans="1:33" ht="14.25" customHeight="1" x14ac:dyDescent="0.1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row>
    <row r="60" spans="1:33" ht="14.25" customHeight="1"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row>
    <row r="61" spans="1:33" ht="14.25" customHeight="1"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row>
    <row r="62" spans="1:33" ht="14.25" customHeight="1" x14ac:dyDescent="0.1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row>
    <row r="63" spans="1:33" ht="14.25" customHeight="1" x14ac:dyDescent="0.1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row>
    <row r="64" spans="1:33" ht="14.25" customHeight="1" x14ac:dyDescent="0.1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row>
    <row r="65" spans="1:33" ht="14.25" customHeight="1" x14ac:dyDescent="0.1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row>
    <row r="66" spans="1:33" ht="14.25" customHeight="1" x14ac:dyDescent="0.1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row>
    <row r="67" spans="1:33" ht="14.25" customHeight="1" x14ac:dyDescent="0.1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row>
    <row r="68" spans="1:33" ht="14.25" customHeight="1" x14ac:dyDescent="0.15">
      <c r="A68" s="27"/>
      <c r="M68" s="27"/>
      <c r="N68" s="27"/>
      <c r="O68" s="27"/>
      <c r="P68" s="27"/>
      <c r="Q68" s="27"/>
      <c r="R68" s="27"/>
      <c r="S68" s="27"/>
      <c r="T68" s="27"/>
      <c r="U68" s="27"/>
      <c r="V68" s="27"/>
      <c r="W68" s="27"/>
      <c r="X68" s="27"/>
      <c r="Y68" s="27"/>
      <c r="Z68" s="27"/>
      <c r="AA68" s="27"/>
      <c r="AB68" s="27"/>
      <c r="AC68" s="27"/>
      <c r="AD68" s="27"/>
      <c r="AE68" s="27"/>
      <c r="AF68" s="27"/>
      <c r="AG68" s="27"/>
    </row>
    <row r="69" spans="1:33" ht="14.25" customHeight="1" x14ac:dyDescent="0.15">
      <c r="A69" s="27"/>
      <c r="M69" s="27"/>
      <c r="N69" s="27"/>
      <c r="O69" s="27"/>
      <c r="P69" s="27"/>
      <c r="Q69" s="27"/>
      <c r="R69" s="27"/>
      <c r="S69" s="27"/>
      <c r="T69" s="27"/>
      <c r="U69" s="27"/>
      <c r="V69" s="27"/>
      <c r="W69" s="27"/>
      <c r="X69" s="27"/>
      <c r="Y69" s="27"/>
      <c r="Z69" s="27"/>
      <c r="AA69" s="27"/>
      <c r="AB69" s="27"/>
      <c r="AC69" s="27"/>
      <c r="AD69" s="27"/>
      <c r="AE69" s="27"/>
      <c r="AF69" s="27"/>
      <c r="AG69" s="27"/>
    </row>
    <row r="70" spans="1:33" ht="14.25" customHeight="1" x14ac:dyDescent="0.15">
      <c r="A70" s="27"/>
      <c r="M70" s="27"/>
      <c r="N70" s="27"/>
      <c r="O70" s="27"/>
      <c r="P70" s="27"/>
      <c r="Q70" s="27"/>
      <c r="R70" s="27"/>
      <c r="S70" s="27"/>
      <c r="T70" s="27"/>
      <c r="U70" s="27"/>
      <c r="V70" s="27"/>
      <c r="W70" s="27"/>
      <c r="X70" s="27"/>
      <c r="Y70" s="27"/>
      <c r="Z70" s="27"/>
      <c r="AA70" s="27"/>
      <c r="AB70" s="27"/>
      <c r="AC70" s="27"/>
      <c r="AD70" s="27"/>
      <c r="AE70" s="27"/>
      <c r="AF70" s="27"/>
      <c r="AG70" s="27"/>
    </row>
    <row r="71" spans="1:33" ht="14.25" customHeight="1" x14ac:dyDescent="0.15">
      <c r="A71" s="27"/>
      <c r="M71" s="27"/>
      <c r="N71" s="27"/>
      <c r="O71" s="27"/>
      <c r="P71" s="27"/>
      <c r="Q71" s="27"/>
      <c r="R71" s="27"/>
      <c r="S71" s="27"/>
      <c r="T71" s="27"/>
      <c r="U71" s="27"/>
      <c r="V71" s="27"/>
      <c r="W71" s="27"/>
      <c r="X71" s="27"/>
      <c r="Y71" s="27"/>
      <c r="Z71" s="27"/>
      <c r="AA71" s="27"/>
      <c r="AB71" s="27"/>
      <c r="AC71" s="27"/>
      <c r="AD71" s="27"/>
      <c r="AE71" s="27"/>
      <c r="AF71" s="27"/>
      <c r="AG71" s="27"/>
    </row>
    <row r="72" spans="1:33" ht="14.25" customHeight="1" x14ac:dyDescent="0.15">
      <c r="A72" s="27"/>
      <c r="M72" s="27"/>
      <c r="N72" s="27"/>
      <c r="O72" s="27"/>
      <c r="P72" s="27"/>
      <c r="Q72" s="27"/>
      <c r="R72" s="27"/>
      <c r="S72" s="27"/>
      <c r="T72" s="27"/>
      <c r="U72" s="27"/>
      <c r="V72" s="27"/>
      <c r="W72" s="27"/>
      <c r="X72" s="27"/>
      <c r="Y72" s="27"/>
      <c r="Z72" s="27"/>
      <c r="AA72" s="27"/>
      <c r="AB72" s="27"/>
      <c r="AC72" s="27"/>
      <c r="AD72" s="27"/>
      <c r="AE72" s="27"/>
      <c r="AF72" s="27"/>
      <c r="AG72" s="27"/>
    </row>
    <row r="73" spans="1:33" ht="14.25" customHeight="1" x14ac:dyDescent="0.15">
      <c r="A73" s="27"/>
      <c r="M73" s="27"/>
      <c r="N73" s="27"/>
      <c r="O73" s="27"/>
      <c r="P73" s="27"/>
      <c r="Q73" s="27"/>
      <c r="R73" s="27"/>
      <c r="S73" s="27"/>
      <c r="T73" s="27"/>
      <c r="U73" s="27"/>
      <c r="V73" s="27"/>
      <c r="W73" s="27"/>
      <c r="X73" s="27"/>
      <c r="Y73" s="27"/>
      <c r="Z73" s="27"/>
      <c r="AA73" s="27"/>
      <c r="AB73" s="27"/>
      <c r="AC73" s="27"/>
      <c r="AD73" s="27"/>
      <c r="AE73" s="27"/>
      <c r="AF73" s="27"/>
      <c r="AG73" s="27"/>
    </row>
    <row r="74" spans="1:33" ht="14.25" customHeight="1" x14ac:dyDescent="0.15">
      <c r="A74" s="27"/>
      <c r="M74" s="27"/>
      <c r="N74" s="27"/>
      <c r="O74" s="27"/>
      <c r="P74" s="27"/>
      <c r="Q74" s="27"/>
      <c r="R74" s="27"/>
      <c r="S74" s="27"/>
      <c r="T74" s="27"/>
      <c r="U74" s="27"/>
      <c r="V74" s="27"/>
      <c r="W74" s="27"/>
      <c r="X74" s="27"/>
      <c r="Y74" s="27"/>
      <c r="Z74" s="27"/>
      <c r="AA74" s="27"/>
      <c r="AB74" s="27"/>
      <c r="AC74" s="27"/>
      <c r="AD74" s="27"/>
      <c r="AE74" s="27"/>
      <c r="AF74" s="27"/>
      <c r="AG74" s="27"/>
    </row>
    <row r="75" spans="1:33" ht="14.25" customHeight="1" x14ac:dyDescent="0.15">
      <c r="A75" s="27"/>
      <c r="M75" s="27"/>
      <c r="N75" s="27"/>
      <c r="O75" s="27"/>
      <c r="P75" s="27"/>
      <c r="Q75" s="27"/>
      <c r="R75" s="27"/>
      <c r="S75" s="27"/>
      <c r="T75" s="27"/>
      <c r="U75" s="27"/>
      <c r="V75" s="27"/>
      <c r="W75" s="27"/>
      <c r="X75" s="27"/>
      <c r="Y75" s="27"/>
      <c r="Z75" s="27"/>
      <c r="AA75" s="27"/>
      <c r="AB75" s="27"/>
      <c r="AC75" s="27"/>
      <c r="AD75" s="27"/>
      <c r="AE75" s="27"/>
      <c r="AF75" s="27"/>
      <c r="AG75" s="27"/>
    </row>
    <row r="76" spans="1:33" ht="14.25" customHeight="1" x14ac:dyDescent="0.15">
      <c r="A76" s="27"/>
      <c r="M76" s="27"/>
      <c r="N76" s="27"/>
      <c r="O76" s="27"/>
      <c r="P76" s="27"/>
      <c r="Q76" s="27"/>
      <c r="R76" s="27"/>
      <c r="S76" s="27"/>
      <c r="T76" s="27"/>
      <c r="U76" s="27"/>
      <c r="V76" s="27"/>
      <c r="W76" s="27"/>
      <c r="X76" s="27"/>
      <c r="Y76" s="27"/>
      <c r="Z76" s="27"/>
      <c r="AA76" s="27"/>
      <c r="AB76" s="27"/>
      <c r="AC76" s="27"/>
      <c r="AD76" s="27"/>
      <c r="AE76" s="27"/>
      <c r="AF76" s="27"/>
      <c r="AG76" s="27"/>
    </row>
    <row r="77" spans="1:33" ht="14.25" customHeight="1" x14ac:dyDescent="0.15">
      <c r="A77" s="27"/>
      <c r="M77" s="27"/>
      <c r="N77" s="27"/>
      <c r="O77" s="27"/>
      <c r="P77" s="27"/>
      <c r="Q77" s="27"/>
      <c r="R77" s="27"/>
      <c r="S77" s="27"/>
      <c r="T77" s="27"/>
      <c r="U77" s="27"/>
      <c r="V77" s="27"/>
      <c r="W77" s="27"/>
      <c r="X77" s="27"/>
      <c r="Y77" s="27"/>
      <c r="Z77" s="27"/>
      <c r="AA77" s="27"/>
      <c r="AB77" s="27"/>
      <c r="AC77" s="27"/>
      <c r="AD77" s="27"/>
      <c r="AE77" s="27"/>
      <c r="AF77" s="27"/>
      <c r="AG77" s="27"/>
    </row>
    <row r="78" spans="1:33" ht="14.25" customHeight="1" x14ac:dyDescent="0.15">
      <c r="A78" s="27"/>
      <c r="M78" s="27"/>
      <c r="N78" s="27"/>
      <c r="O78" s="27"/>
      <c r="P78" s="27"/>
      <c r="Q78" s="27"/>
      <c r="R78" s="27"/>
      <c r="S78" s="27"/>
      <c r="T78" s="27"/>
      <c r="U78" s="27"/>
      <c r="V78" s="27"/>
      <c r="W78" s="27"/>
      <c r="X78" s="27"/>
      <c r="Y78" s="27"/>
      <c r="Z78" s="27"/>
      <c r="AA78" s="27"/>
      <c r="AB78" s="27"/>
      <c r="AC78" s="27"/>
      <c r="AD78" s="27"/>
      <c r="AE78" s="27"/>
      <c r="AF78" s="27"/>
      <c r="AG78" s="27"/>
    </row>
    <row r="79" spans="1:33" ht="14.25" customHeight="1" x14ac:dyDescent="0.15">
      <c r="A79" s="27"/>
      <c r="M79" s="27"/>
      <c r="N79" s="27"/>
      <c r="O79" s="27"/>
      <c r="P79" s="27"/>
      <c r="Q79" s="27"/>
      <c r="R79" s="27"/>
      <c r="S79" s="27"/>
      <c r="T79" s="27"/>
      <c r="U79" s="27"/>
      <c r="V79" s="27"/>
      <c r="W79" s="27"/>
      <c r="X79" s="27"/>
      <c r="Y79" s="27"/>
      <c r="Z79" s="27"/>
      <c r="AA79" s="27"/>
      <c r="AB79" s="27"/>
      <c r="AC79" s="27"/>
      <c r="AD79" s="27"/>
      <c r="AE79" s="27"/>
      <c r="AF79" s="27"/>
      <c r="AG79" s="27"/>
    </row>
    <row r="80" spans="1:33" ht="14.25" customHeight="1" x14ac:dyDescent="0.1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row>
    <row r="81" spans="1:33" ht="14.25" customHeight="1" x14ac:dyDescent="0.1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row>
    <row r="82" spans="1:33" ht="14.25" customHeight="1" x14ac:dyDescent="0.1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row>
    <row r="83" spans="1:33" ht="14.25" customHeight="1" x14ac:dyDescent="0.1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row>
    <row r="84" spans="1:33" ht="14.25" customHeight="1" x14ac:dyDescent="0.1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row>
    <row r="85" spans="1:33" ht="14.25" customHeight="1" x14ac:dyDescent="0.1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row>
    <row r="86" spans="1:33" ht="14.25" customHeight="1" x14ac:dyDescent="0.1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row>
    <row r="87" spans="1:33" ht="14.25" customHeight="1" x14ac:dyDescent="0.1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row>
    <row r="88" spans="1:33" ht="14.25" customHeight="1" x14ac:dyDescent="0.1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row>
    <row r="89" spans="1:33" ht="14.25" customHeight="1" x14ac:dyDescent="0.1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row>
    <row r="90" spans="1:33" ht="14.25" customHeight="1" x14ac:dyDescent="0.1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row>
    <row r="91" spans="1:33" ht="14.25" customHeight="1" x14ac:dyDescent="0.1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row>
    <row r="92" spans="1:33" ht="14.25" customHeight="1" x14ac:dyDescent="0.1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row>
    <row r="93" spans="1:33" ht="14.25" customHeight="1" x14ac:dyDescent="0.1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row>
    <row r="94" spans="1:33" ht="14.25" customHeight="1" x14ac:dyDescent="0.1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row>
    <row r="95" spans="1:33" ht="14.25" customHeight="1" x14ac:dyDescent="0.1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row>
    <row r="96" spans="1:33" ht="14.25" customHeight="1" x14ac:dyDescent="0.1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row>
    <row r="97" spans="1:33" ht="14.25" customHeight="1" x14ac:dyDescent="0.1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row>
    <row r="98" spans="1:33" ht="14.25" customHeight="1" x14ac:dyDescent="0.1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row>
    <row r="99" spans="1:33" ht="14.25" customHeight="1" x14ac:dyDescent="0.1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row>
    <row r="100" spans="1:33" ht="14.25" customHeight="1" x14ac:dyDescent="0.1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row>
    <row r="101" spans="1:33" ht="14.25" customHeight="1" x14ac:dyDescent="0.1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row>
    <row r="102" spans="1:33" ht="14.25" customHeight="1" x14ac:dyDescent="0.1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row>
    <row r="103" spans="1:33" ht="14.25" customHeight="1" x14ac:dyDescent="0.1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row>
    <row r="104" spans="1:33" ht="14.25" customHeight="1" x14ac:dyDescent="0.1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row>
    <row r="105" spans="1:33" ht="14.25" customHeight="1" x14ac:dyDescent="0.1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row>
    <row r="106" spans="1:33" ht="14.25" customHeight="1" x14ac:dyDescent="0.1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row>
    <row r="107" spans="1:33" ht="14.25" customHeight="1" x14ac:dyDescent="0.1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row>
    <row r="108" spans="1:33" ht="14.25" customHeight="1" x14ac:dyDescent="0.1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row>
    <row r="109" spans="1:33" ht="14.25" customHeight="1" x14ac:dyDescent="0.1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row>
    <row r="110" spans="1:33" ht="14.25" customHeight="1" x14ac:dyDescent="0.1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row>
    <row r="111" spans="1:33" ht="14.25" customHeight="1" x14ac:dyDescent="0.1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row>
    <row r="112" spans="1:33" ht="14.25" customHeight="1" x14ac:dyDescent="0.1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row>
    <row r="113" spans="1:33" ht="14.25" customHeight="1" x14ac:dyDescent="0.1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row>
    <row r="114" spans="1:33" ht="14.25" customHeight="1" x14ac:dyDescent="0.1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row>
    <row r="115" spans="1:33" ht="14.25" customHeight="1" x14ac:dyDescent="0.1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row>
    <row r="116" spans="1:33" ht="14.25" customHeight="1" x14ac:dyDescent="0.1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row>
    <row r="117" spans="1:33" ht="14.25" customHeight="1" x14ac:dyDescent="0.1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row>
    <row r="118" spans="1:33" ht="14.25" customHeight="1" x14ac:dyDescent="0.1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row>
    <row r="119" spans="1:33" ht="14.25" customHeight="1" x14ac:dyDescent="0.1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row>
    <row r="120" spans="1:33" ht="14.25" customHeight="1" x14ac:dyDescent="0.1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row>
    <row r="121" spans="1:33" ht="14.25" customHeight="1" x14ac:dyDescent="0.1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row>
    <row r="122" spans="1:33" ht="14.25" customHeight="1" x14ac:dyDescent="0.1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row>
    <row r="123" spans="1:33" ht="14.25" customHeight="1" x14ac:dyDescent="0.1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row>
    <row r="124" spans="1:33" ht="14.25" customHeight="1" x14ac:dyDescent="0.1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row>
    <row r="125" spans="1:33" ht="14.25" customHeight="1" x14ac:dyDescent="0.1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row>
    <row r="126" spans="1:33" ht="14.25" customHeight="1" x14ac:dyDescent="0.1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row>
    <row r="127" spans="1:33" ht="14.25" customHeight="1" x14ac:dyDescent="0.1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row>
    <row r="128" spans="1:33" ht="14.25" customHeight="1" x14ac:dyDescent="0.1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row>
    <row r="129" spans="1:33" ht="14.25" customHeight="1" x14ac:dyDescent="0.1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row>
    <row r="130" spans="1:33" ht="14.25" customHeight="1" x14ac:dyDescent="0.1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row>
    <row r="131" spans="1:33" ht="14.25" customHeight="1" x14ac:dyDescent="0.1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row>
    <row r="132" spans="1:33" ht="14.25" customHeight="1" x14ac:dyDescent="0.1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row>
    <row r="133" spans="1:33" ht="14.25" customHeight="1" x14ac:dyDescent="0.1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row>
    <row r="134" spans="1:33" ht="14.25" customHeight="1" x14ac:dyDescent="0.1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row>
    <row r="135" spans="1:33" ht="14.25" customHeight="1" x14ac:dyDescent="0.1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row>
    <row r="136" spans="1:33" ht="14.25" customHeight="1" x14ac:dyDescent="0.1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row>
    <row r="137" spans="1:33" ht="14.25" customHeight="1" x14ac:dyDescent="0.1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row>
    <row r="138" spans="1:33" ht="14.25" customHeight="1" x14ac:dyDescent="0.1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row>
    <row r="139" spans="1:33" ht="14.25" customHeight="1" x14ac:dyDescent="0.1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row>
    <row r="140" spans="1:33" ht="14.25" customHeight="1" x14ac:dyDescent="0.1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row>
    <row r="141" spans="1:33" ht="14.25" customHeight="1" x14ac:dyDescent="0.1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row>
    <row r="142" spans="1:33" ht="14.25" customHeight="1" x14ac:dyDescent="0.1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row>
    <row r="143" spans="1:33" ht="14.25" customHeight="1" x14ac:dyDescent="0.1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row>
    <row r="144" spans="1:33" ht="14.25" customHeight="1" x14ac:dyDescent="0.1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row>
    <row r="145" spans="1:33" ht="14.25" customHeight="1" x14ac:dyDescent="0.1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row>
    <row r="146" spans="1:33" ht="14.25" customHeight="1" x14ac:dyDescent="0.1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row>
    <row r="147" spans="1:33" ht="14.25" customHeight="1" x14ac:dyDescent="0.1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row>
    <row r="148" spans="1:33" ht="14.25" customHeight="1" x14ac:dyDescent="0.1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row>
    <row r="149" spans="1:33" ht="14.25" customHeight="1" x14ac:dyDescent="0.1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row>
    <row r="150" spans="1:33" ht="14.25" customHeight="1" x14ac:dyDescent="0.1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row>
    <row r="151" spans="1:33" ht="14.25" customHeight="1" x14ac:dyDescent="0.1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row>
    <row r="152" spans="1:33" ht="14.25" customHeight="1" x14ac:dyDescent="0.1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row>
    <row r="153" spans="1:33" ht="14.25" customHeight="1" x14ac:dyDescent="0.1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row>
    <row r="154" spans="1:33" ht="14.25" customHeight="1" x14ac:dyDescent="0.1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row>
    <row r="155" spans="1:33" ht="14.25" customHeight="1" x14ac:dyDescent="0.1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row>
    <row r="156" spans="1:33" ht="14.25" customHeight="1" x14ac:dyDescent="0.1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row>
    <row r="157" spans="1:33" ht="14.25" customHeight="1" x14ac:dyDescent="0.1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row>
    <row r="158" spans="1:33" ht="14.25" customHeight="1" x14ac:dyDescent="0.1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row>
    <row r="159" spans="1:33" ht="14.25" customHeight="1" x14ac:dyDescent="0.1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row>
    <row r="160" spans="1:33" ht="14.25" customHeight="1" x14ac:dyDescent="0.1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row>
    <row r="161" spans="1:33" ht="14.25" customHeight="1" x14ac:dyDescent="0.1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row>
    <row r="162" spans="1:33" ht="14.25" customHeight="1" x14ac:dyDescent="0.1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row>
    <row r="163" spans="1:33" ht="14.25" customHeight="1" x14ac:dyDescent="0.1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row>
    <row r="164" spans="1:33" ht="14.25" customHeight="1" x14ac:dyDescent="0.1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row>
    <row r="165" spans="1:33" ht="14.25" customHeight="1" x14ac:dyDescent="0.1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row>
    <row r="166" spans="1:33" ht="14.25" customHeight="1" x14ac:dyDescent="0.1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row>
    <row r="167" spans="1:33" ht="14.25" customHeight="1" x14ac:dyDescent="0.1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row>
    <row r="168" spans="1:33" ht="14.25" customHeight="1" x14ac:dyDescent="0.1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row>
    <row r="169" spans="1:33" ht="14.25" customHeight="1" x14ac:dyDescent="0.1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row>
    <row r="170" spans="1:33" ht="14.25" customHeight="1" x14ac:dyDescent="0.1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row>
    <row r="171" spans="1:33" ht="14.25" customHeight="1" x14ac:dyDescent="0.1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row>
    <row r="172" spans="1:33" ht="14.25" customHeight="1" x14ac:dyDescent="0.1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row>
    <row r="173" spans="1:33" ht="14.25" customHeight="1" x14ac:dyDescent="0.1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row>
    <row r="174" spans="1:33" ht="14.25" customHeight="1" x14ac:dyDescent="0.1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row>
    <row r="175" spans="1:33" ht="14.25" customHeight="1" x14ac:dyDescent="0.1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row>
    <row r="176" spans="1:33" ht="14.25" customHeight="1" x14ac:dyDescent="0.1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row>
    <row r="177" spans="1:33" ht="14.25" customHeight="1" x14ac:dyDescent="0.1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row>
    <row r="178" spans="1:33" ht="14.25" customHeight="1" x14ac:dyDescent="0.1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row>
    <row r="179" spans="1:33" ht="14.25" customHeight="1" x14ac:dyDescent="0.1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row>
    <row r="180" spans="1:33" ht="14.25" customHeight="1" x14ac:dyDescent="0.1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row>
    <row r="181" spans="1:33" ht="14.25" customHeight="1" x14ac:dyDescent="0.1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row>
    <row r="182" spans="1:33" ht="14.25" customHeight="1" x14ac:dyDescent="0.1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row>
    <row r="183" spans="1:33" ht="14.25" customHeight="1" x14ac:dyDescent="0.1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row>
    <row r="184" spans="1:33" ht="14.25" customHeight="1" x14ac:dyDescent="0.1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row>
    <row r="185" spans="1:33" ht="14.25" customHeight="1" x14ac:dyDescent="0.1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row>
    <row r="186" spans="1:33" ht="14.25" customHeight="1" x14ac:dyDescent="0.1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row>
    <row r="187" spans="1:33" ht="14.25" customHeight="1" x14ac:dyDescent="0.1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row>
    <row r="188" spans="1:33" ht="14.25" customHeight="1" x14ac:dyDescent="0.1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row>
    <row r="189" spans="1:33" ht="14.25" customHeight="1" x14ac:dyDescent="0.1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row>
    <row r="190" spans="1:33" ht="14.25" customHeight="1" x14ac:dyDescent="0.1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row>
    <row r="191" spans="1:33" ht="14.25" customHeight="1" x14ac:dyDescent="0.1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row>
    <row r="192" spans="1:33" ht="14.25" customHeight="1" x14ac:dyDescent="0.1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row>
    <row r="193" spans="1:33" ht="14.25" customHeight="1" x14ac:dyDescent="0.1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row>
    <row r="194" spans="1:33" ht="14.25" customHeight="1" x14ac:dyDescent="0.1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row>
    <row r="195" spans="1:33" ht="14.25" customHeight="1" x14ac:dyDescent="0.1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row>
    <row r="196" spans="1:33" ht="14.25" customHeight="1" x14ac:dyDescent="0.1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row>
    <row r="197" spans="1:33" ht="14.25" customHeight="1" x14ac:dyDescent="0.1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row>
    <row r="198" spans="1:33" ht="14.25" customHeight="1" x14ac:dyDescent="0.1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row>
    <row r="199" spans="1:33" ht="14.25" customHeight="1" x14ac:dyDescent="0.1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row>
    <row r="200" spans="1:33" ht="14.25" customHeight="1" x14ac:dyDescent="0.1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row>
    <row r="201" spans="1:33" ht="14.25" customHeight="1" x14ac:dyDescent="0.1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row>
    <row r="202" spans="1:33" ht="14.25" customHeight="1" x14ac:dyDescent="0.1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row>
    <row r="203" spans="1:33" ht="14.25" customHeight="1" x14ac:dyDescent="0.1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row>
    <row r="204" spans="1:33" ht="14.25" customHeight="1" x14ac:dyDescent="0.1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row>
    <row r="205" spans="1:33" ht="14.25" customHeight="1" x14ac:dyDescent="0.1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row>
    <row r="206" spans="1:33" ht="14.25" customHeight="1" x14ac:dyDescent="0.1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row>
    <row r="207" spans="1:33" ht="14.25" customHeight="1" x14ac:dyDescent="0.1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row>
    <row r="208" spans="1:33" ht="14.25" customHeight="1" x14ac:dyDescent="0.1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row>
    <row r="209" spans="1:33" ht="14.25" customHeight="1" x14ac:dyDescent="0.1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row>
    <row r="210" spans="1:33" ht="15.75" customHeight="1" x14ac:dyDescent="0.15"/>
    <row r="211" spans="1:33" ht="15.75" customHeight="1" x14ac:dyDescent="0.15"/>
    <row r="212" spans="1:33" ht="15.75" customHeight="1" x14ac:dyDescent="0.15"/>
    <row r="213" spans="1:33" ht="15.75" customHeight="1" x14ac:dyDescent="0.15"/>
    <row r="214" spans="1:33" ht="15.75" customHeight="1" x14ac:dyDescent="0.15"/>
    <row r="215" spans="1:33" ht="15.75" customHeight="1" x14ac:dyDescent="0.15"/>
    <row r="216" spans="1:33" ht="15.75" customHeight="1" x14ac:dyDescent="0.15"/>
    <row r="217" spans="1:33" ht="15.75" customHeight="1" x14ac:dyDescent="0.15"/>
    <row r="218" spans="1:33" ht="15.75" customHeight="1" x14ac:dyDescent="0.15"/>
    <row r="219" spans="1:33" ht="15.75" customHeight="1" x14ac:dyDescent="0.15"/>
    <row r="220" spans="1:33" ht="15.75" customHeight="1" x14ac:dyDescent="0.15"/>
    <row r="221" spans="1:33" ht="15.75" customHeight="1" x14ac:dyDescent="0.15"/>
    <row r="222" spans="1:33" ht="15.75" customHeight="1" x14ac:dyDescent="0.15"/>
    <row r="223" spans="1:33" ht="15.75" customHeight="1" x14ac:dyDescent="0.15"/>
    <row r="224" spans="1:33" ht="15.75" customHeight="1" x14ac:dyDescent="0.15"/>
    <row r="225" s="8" customFormat="1" ht="15.75" customHeight="1" x14ac:dyDescent="0.15"/>
    <row r="226" s="8" customFormat="1" ht="15.75" customHeight="1" x14ac:dyDescent="0.15"/>
    <row r="227" s="8" customFormat="1" ht="15.75" customHeight="1" x14ac:dyDescent="0.15"/>
    <row r="228" s="8" customFormat="1" ht="15.75" customHeight="1" x14ac:dyDescent="0.15"/>
    <row r="229" s="8" customFormat="1" ht="15.75" customHeight="1" x14ac:dyDescent="0.15"/>
    <row r="230" s="8" customFormat="1" ht="15.75" customHeight="1" x14ac:dyDescent="0.15"/>
    <row r="231" s="8" customFormat="1" ht="15.75" customHeight="1" x14ac:dyDescent="0.15"/>
    <row r="232" s="8" customFormat="1" ht="15.75" customHeight="1" x14ac:dyDescent="0.15"/>
    <row r="233" s="8" customFormat="1" ht="15.75" customHeight="1" x14ac:dyDescent="0.15"/>
    <row r="234" s="8" customFormat="1" ht="15.75" customHeight="1" x14ac:dyDescent="0.15"/>
    <row r="235" s="8" customFormat="1" ht="15.75" customHeight="1" x14ac:dyDescent="0.15"/>
    <row r="236" s="8" customFormat="1" ht="15.75" customHeight="1" x14ac:dyDescent="0.15"/>
    <row r="237" s="8" customFormat="1" ht="15.75" customHeight="1" x14ac:dyDescent="0.15"/>
    <row r="238" s="8" customFormat="1" ht="15.75" customHeight="1" x14ac:dyDescent="0.15"/>
    <row r="239" s="8" customFormat="1" ht="15.75" customHeight="1" x14ac:dyDescent="0.15"/>
    <row r="240" s="8" customFormat="1" ht="15.75" customHeight="1" x14ac:dyDescent="0.15"/>
    <row r="241" s="8" customFormat="1" ht="15.75" customHeight="1" x14ac:dyDescent="0.15"/>
    <row r="242" s="8" customFormat="1" ht="15.75" customHeight="1" x14ac:dyDescent="0.15"/>
    <row r="243" s="8" customFormat="1" ht="15.75" customHeight="1" x14ac:dyDescent="0.15"/>
    <row r="244" s="8" customFormat="1" ht="15.75" customHeight="1" x14ac:dyDescent="0.15"/>
    <row r="245" s="8" customFormat="1" ht="15.75" customHeight="1" x14ac:dyDescent="0.15"/>
    <row r="246" s="8" customFormat="1" ht="15.75" customHeight="1" x14ac:dyDescent="0.15"/>
    <row r="247" s="8" customFormat="1" ht="15.75" customHeight="1" x14ac:dyDescent="0.15"/>
    <row r="248" s="8" customFormat="1" ht="15.75" customHeight="1" x14ac:dyDescent="0.15"/>
    <row r="249" s="8" customFormat="1" ht="15.75" customHeight="1" x14ac:dyDescent="0.15"/>
    <row r="250" s="8" customFormat="1" ht="15.75" customHeight="1" x14ac:dyDescent="0.15"/>
    <row r="251" s="8" customFormat="1" ht="15.75" customHeight="1" x14ac:dyDescent="0.15"/>
    <row r="252" s="8" customFormat="1" ht="15.75" customHeight="1" x14ac:dyDescent="0.15"/>
    <row r="253" s="8" customFormat="1" ht="15.75" customHeight="1" x14ac:dyDescent="0.15"/>
    <row r="254" s="8" customFormat="1" ht="15.75" customHeight="1" x14ac:dyDescent="0.15"/>
    <row r="255" s="8" customFormat="1" ht="15.75" customHeight="1" x14ac:dyDescent="0.15"/>
    <row r="256" s="8" customFormat="1" ht="15.75" customHeight="1" x14ac:dyDescent="0.15"/>
    <row r="257" s="8" customFormat="1" ht="15.75" customHeight="1" x14ac:dyDescent="0.15"/>
    <row r="258" s="8" customFormat="1" ht="15.75" customHeight="1" x14ac:dyDescent="0.15"/>
    <row r="259" s="8" customFormat="1" ht="15.75" customHeight="1" x14ac:dyDescent="0.15"/>
    <row r="260" s="8" customFormat="1" ht="15.75" customHeight="1" x14ac:dyDescent="0.15"/>
    <row r="261" s="8" customFormat="1" ht="15.75" customHeight="1" x14ac:dyDescent="0.15"/>
    <row r="262" s="8" customFormat="1" ht="15.75" customHeight="1" x14ac:dyDescent="0.15"/>
    <row r="263" s="8" customFormat="1" ht="15.75" customHeight="1" x14ac:dyDescent="0.15"/>
    <row r="264" s="8" customFormat="1" ht="15.75" customHeight="1" x14ac:dyDescent="0.15"/>
    <row r="265" s="8" customFormat="1" ht="15.75" customHeight="1" x14ac:dyDescent="0.15"/>
    <row r="266" s="8" customFormat="1" ht="15.75" customHeight="1" x14ac:dyDescent="0.15"/>
    <row r="267" s="8" customFormat="1" ht="15.75" customHeight="1" x14ac:dyDescent="0.15"/>
    <row r="268" s="8" customFormat="1" ht="15.75" customHeight="1" x14ac:dyDescent="0.15"/>
    <row r="269" s="8" customFormat="1" ht="15.75" customHeight="1" x14ac:dyDescent="0.15"/>
    <row r="270" s="8" customFormat="1" ht="15.75" customHeight="1" x14ac:dyDescent="0.15"/>
    <row r="271" s="8" customFormat="1" ht="15.75" customHeight="1" x14ac:dyDescent="0.15"/>
    <row r="272" s="8" customFormat="1" ht="15.75" customHeight="1" x14ac:dyDescent="0.15"/>
    <row r="273" s="8" customFormat="1" ht="15.75" customHeight="1" x14ac:dyDescent="0.15"/>
    <row r="274" s="8" customFormat="1" ht="15.75" customHeight="1" x14ac:dyDescent="0.15"/>
    <row r="275" s="8" customFormat="1" ht="15.75" customHeight="1" x14ac:dyDescent="0.15"/>
    <row r="276" s="8" customFormat="1" ht="15.75" customHeight="1" x14ac:dyDescent="0.15"/>
    <row r="277" s="8" customFormat="1" ht="15.75" customHeight="1" x14ac:dyDescent="0.15"/>
    <row r="278" s="8" customFormat="1" ht="15.75" customHeight="1" x14ac:dyDescent="0.15"/>
    <row r="279" s="8" customFormat="1" ht="15.75" customHeight="1" x14ac:dyDescent="0.15"/>
    <row r="280" s="8" customFormat="1" ht="15.75" customHeight="1" x14ac:dyDescent="0.15"/>
    <row r="281" s="8" customFormat="1" ht="15.75" customHeight="1" x14ac:dyDescent="0.15"/>
    <row r="282" s="8" customFormat="1" ht="15.75" customHeight="1" x14ac:dyDescent="0.15"/>
    <row r="283" s="8" customFormat="1" ht="15.75" customHeight="1" x14ac:dyDescent="0.15"/>
    <row r="284" s="8" customFormat="1" ht="15.75" customHeight="1" x14ac:dyDescent="0.15"/>
    <row r="285" s="8" customFormat="1" ht="15.75" customHeight="1" x14ac:dyDescent="0.15"/>
    <row r="286" s="8" customFormat="1" ht="15.75" customHeight="1" x14ac:dyDescent="0.15"/>
    <row r="287" s="8" customFormat="1" ht="15.75" customHeight="1" x14ac:dyDescent="0.15"/>
    <row r="288" s="8" customFormat="1" ht="15.75" customHeight="1" x14ac:dyDescent="0.15"/>
    <row r="289" s="8" customFormat="1" ht="15.75" customHeight="1" x14ac:dyDescent="0.15"/>
    <row r="290" s="8" customFormat="1" ht="15.75" customHeight="1" x14ac:dyDescent="0.15"/>
    <row r="291" s="8" customFormat="1" ht="15.75" customHeight="1" x14ac:dyDescent="0.15"/>
    <row r="292" s="8" customFormat="1" ht="15.75" customHeight="1" x14ac:dyDescent="0.15"/>
    <row r="293" s="8" customFormat="1" ht="15.75" customHeight="1" x14ac:dyDescent="0.15"/>
    <row r="294" s="8" customFormat="1" ht="15.75" customHeight="1" x14ac:dyDescent="0.15"/>
    <row r="295" s="8" customFormat="1" ht="15.75" customHeight="1" x14ac:dyDescent="0.15"/>
    <row r="296" s="8" customFormat="1" ht="15.75" customHeight="1" x14ac:dyDescent="0.15"/>
    <row r="297" s="8" customFormat="1" ht="15.75" customHeight="1" x14ac:dyDescent="0.15"/>
    <row r="298" s="8" customFormat="1" ht="15.75" customHeight="1" x14ac:dyDescent="0.15"/>
    <row r="299" s="8" customFormat="1" ht="15.75" customHeight="1" x14ac:dyDescent="0.15"/>
    <row r="300" s="8" customFormat="1" ht="15.75" customHeight="1" x14ac:dyDescent="0.15"/>
    <row r="301" s="8" customFormat="1" ht="15.75" customHeight="1" x14ac:dyDescent="0.15"/>
    <row r="302" s="8" customFormat="1" ht="15.75" customHeight="1" x14ac:dyDescent="0.15"/>
    <row r="303" s="8" customFormat="1" ht="15.75" customHeight="1" x14ac:dyDescent="0.15"/>
    <row r="304" s="8" customFormat="1" ht="15.75" customHeight="1" x14ac:dyDescent="0.15"/>
    <row r="305" s="8" customFormat="1" ht="15.75" customHeight="1" x14ac:dyDescent="0.15"/>
    <row r="306" s="8" customFormat="1" ht="15.75" customHeight="1" x14ac:dyDescent="0.15"/>
    <row r="307" s="8" customFormat="1" ht="15.75" customHeight="1" x14ac:dyDescent="0.15"/>
    <row r="308" s="8" customFormat="1" ht="15.75" customHeight="1" x14ac:dyDescent="0.15"/>
    <row r="309" s="8" customFormat="1" ht="15.75" customHeight="1" x14ac:dyDescent="0.15"/>
    <row r="310" s="8" customFormat="1" ht="15.75" customHeight="1" x14ac:dyDescent="0.15"/>
    <row r="311" s="8" customFormat="1" ht="15.75" customHeight="1" x14ac:dyDescent="0.15"/>
    <row r="312" s="8" customFormat="1" ht="15.75" customHeight="1" x14ac:dyDescent="0.15"/>
    <row r="313" s="8" customFormat="1" ht="15.75" customHeight="1" x14ac:dyDescent="0.15"/>
    <row r="314" s="8" customFormat="1" ht="15.75" customHeight="1" x14ac:dyDescent="0.15"/>
    <row r="315" s="8" customFormat="1" ht="15.75" customHeight="1" x14ac:dyDescent="0.15"/>
    <row r="316" s="8" customFormat="1" ht="15.75" customHeight="1" x14ac:dyDescent="0.15"/>
    <row r="317" s="8" customFormat="1" ht="15.75" customHeight="1" x14ac:dyDescent="0.15"/>
    <row r="318" s="8" customFormat="1" ht="15.75" customHeight="1" x14ac:dyDescent="0.15"/>
    <row r="319" s="8" customFormat="1" ht="15.75" customHeight="1" x14ac:dyDescent="0.15"/>
    <row r="320" s="8" customFormat="1" ht="15.75" customHeight="1" x14ac:dyDescent="0.15"/>
    <row r="321" s="8" customFormat="1" ht="15.75" customHeight="1" x14ac:dyDescent="0.15"/>
    <row r="322" s="8" customFormat="1" ht="15.75" customHeight="1" x14ac:dyDescent="0.15"/>
    <row r="323" s="8" customFormat="1" ht="15.75" customHeight="1" x14ac:dyDescent="0.15"/>
    <row r="324" s="8" customFormat="1" ht="15.75" customHeight="1" x14ac:dyDescent="0.15"/>
    <row r="325" s="8" customFormat="1" ht="15.75" customHeight="1" x14ac:dyDescent="0.15"/>
    <row r="326" s="8" customFormat="1" ht="15.75" customHeight="1" x14ac:dyDescent="0.15"/>
    <row r="327" s="8" customFormat="1" ht="15.75" customHeight="1" x14ac:dyDescent="0.15"/>
    <row r="328" s="8" customFormat="1" ht="15.75" customHeight="1" x14ac:dyDescent="0.15"/>
    <row r="329" s="8" customFormat="1" ht="15.75" customHeight="1" x14ac:dyDescent="0.15"/>
    <row r="330" s="8" customFormat="1" ht="15.75" customHeight="1" x14ac:dyDescent="0.15"/>
    <row r="331" s="8" customFormat="1" ht="15.75" customHeight="1" x14ac:dyDescent="0.15"/>
    <row r="332" s="8" customFormat="1" ht="15.75" customHeight="1" x14ac:dyDescent="0.15"/>
    <row r="333" s="8" customFormat="1" ht="15.75" customHeight="1" x14ac:dyDescent="0.15"/>
    <row r="334" s="8" customFormat="1" ht="15.75" customHeight="1" x14ac:dyDescent="0.15"/>
    <row r="335" s="8" customFormat="1" ht="15.75" customHeight="1" x14ac:dyDescent="0.15"/>
    <row r="336" s="8" customFormat="1" ht="15.75" customHeight="1" x14ac:dyDescent="0.15"/>
    <row r="337" s="8" customFormat="1" ht="15.75" customHeight="1" x14ac:dyDescent="0.15"/>
    <row r="338" s="8" customFormat="1" ht="15.75" customHeight="1" x14ac:dyDescent="0.15"/>
    <row r="339" s="8" customFormat="1" ht="15.75" customHeight="1" x14ac:dyDescent="0.15"/>
    <row r="340" s="8" customFormat="1" ht="15.75" customHeight="1" x14ac:dyDescent="0.15"/>
    <row r="341" s="8" customFormat="1" ht="15.75" customHeight="1" x14ac:dyDescent="0.15"/>
    <row r="342" s="8" customFormat="1" ht="15.75" customHeight="1" x14ac:dyDescent="0.15"/>
    <row r="343" s="8" customFormat="1" ht="15.75" customHeight="1" x14ac:dyDescent="0.15"/>
    <row r="344" s="8" customFormat="1" ht="15.75" customHeight="1" x14ac:dyDescent="0.15"/>
    <row r="345" s="8" customFormat="1" ht="15.75" customHeight="1" x14ac:dyDescent="0.15"/>
    <row r="346" s="8" customFormat="1" ht="15.75" customHeight="1" x14ac:dyDescent="0.15"/>
    <row r="347" s="8" customFormat="1" ht="15.75" customHeight="1" x14ac:dyDescent="0.15"/>
    <row r="348" s="8" customFormat="1" ht="15.75" customHeight="1" x14ac:dyDescent="0.15"/>
    <row r="349" s="8" customFormat="1" ht="15.75" customHeight="1" x14ac:dyDescent="0.15"/>
    <row r="350" s="8" customFormat="1" ht="15.75" customHeight="1" x14ac:dyDescent="0.15"/>
    <row r="351" s="8" customFormat="1" ht="15.75" customHeight="1" x14ac:dyDescent="0.15"/>
    <row r="352" s="8" customFormat="1" ht="15.75" customHeight="1" x14ac:dyDescent="0.15"/>
    <row r="353" s="8" customFormat="1" ht="15.75" customHeight="1" x14ac:dyDescent="0.15"/>
    <row r="354" s="8" customFormat="1" ht="15.75" customHeight="1" x14ac:dyDescent="0.15"/>
    <row r="355" s="8" customFormat="1" ht="15.75" customHeight="1" x14ac:dyDescent="0.15"/>
    <row r="356" s="8" customFormat="1" ht="15.75" customHeight="1" x14ac:dyDescent="0.15"/>
    <row r="357" s="8" customFormat="1" ht="15.75" customHeight="1" x14ac:dyDescent="0.15"/>
    <row r="358" s="8" customFormat="1" ht="15.75" customHeight="1" x14ac:dyDescent="0.15"/>
    <row r="359" s="8" customFormat="1" ht="15.75" customHeight="1" x14ac:dyDescent="0.15"/>
    <row r="360" s="8" customFormat="1" ht="15.75" customHeight="1" x14ac:dyDescent="0.15"/>
    <row r="361" s="8" customFormat="1" ht="15.75" customHeight="1" x14ac:dyDescent="0.15"/>
    <row r="362" s="8" customFormat="1" ht="15.75" customHeight="1" x14ac:dyDescent="0.15"/>
    <row r="363" s="8" customFormat="1" ht="15.75" customHeight="1" x14ac:dyDescent="0.15"/>
    <row r="364" s="8" customFormat="1" ht="15.75" customHeight="1" x14ac:dyDescent="0.15"/>
    <row r="365" s="8" customFormat="1" ht="15.75" customHeight="1" x14ac:dyDescent="0.15"/>
    <row r="366" s="8" customFormat="1" ht="15.75" customHeight="1" x14ac:dyDescent="0.15"/>
    <row r="367" s="8" customFormat="1" ht="15.75" customHeight="1" x14ac:dyDescent="0.15"/>
    <row r="368" s="8" customFormat="1" ht="15.75" customHeight="1" x14ac:dyDescent="0.15"/>
    <row r="369" s="8" customFormat="1" ht="15.75" customHeight="1" x14ac:dyDescent="0.15"/>
    <row r="370" s="8" customFormat="1" ht="15.75" customHeight="1" x14ac:dyDescent="0.15"/>
    <row r="371" s="8" customFormat="1" ht="15.75" customHeight="1" x14ac:dyDescent="0.15"/>
    <row r="372" s="8" customFormat="1" ht="15.75" customHeight="1" x14ac:dyDescent="0.15"/>
    <row r="373" s="8" customFormat="1" ht="15.75" customHeight="1" x14ac:dyDescent="0.15"/>
    <row r="374" s="8" customFormat="1" ht="15.75" customHeight="1" x14ac:dyDescent="0.15"/>
    <row r="375" s="8" customFormat="1" ht="15.75" customHeight="1" x14ac:dyDescent="0.15"/>
    <row r="376" s="8" customFormat="1" ht="15.75" customHeight="1" x14ac:dyDescent="0.15"/>
    <row r="377" s="8" customFormat="1" ht="15.75" customHeight="1" x14ac:dyDescent="0.15"/>
    <row r="378" s="8" customFormat="1" ht="15.75" customHeight="1" x14ac:dyDescent="0.15"/>
    <row r="379" s="8" customFormat="1" ht="15.75" customHeight="1" x14ac:dyDescent="0.15"/>
    <row r="380" s="8" customFormat="1" ht="15.75" customHeight="1" x14ac:dyDescent="0.15"/>
    <row r="381" s="8" customFormat="1" ht="15.75" customHeight="1" x14ac:dyDescent="0.15"/>
    <row r="382" s="8" customFormat="1" ht="15.75" customHeight="1" x14ac:dyDescent="0.15"/>
    <row r="383" s="8" customFormat="1" ht="15.75" customHeight="1" x14ac:dyDescent="0.15"/>
    <row r="384" s="8" customFormat="1" ht="15.75" customHeight="1" x14ac:dyDescent="0.15"/>
    <row r="385" s="8" customFormat="1" ht="15.75" customHeight="1" x14ac:dyDescent="0.15"/>
    <row r="386" s="8" customFormat="1" ht="15.75" customHeight="1" x14ac:dyDescent="0.15"/>
    <row r="387" s="8" customFormat="1" ht="15.75" customHeight="1" x14ac:dyDescent="0.15"/>
    <row r="388" s="8" customFormat="1" ht="15.75" customHeight="1" x14ac:dyDescent="0.15"/>
    <row r="389" s="8" customFormat="1" ht="15.75" customHeight="1" x14ac:dyDescent="0.15"/>
    <row r="390" s="8" customFormat="1" ht="15.75" customHeight="1" x14ac:dyDescent="0.15"/>
    <row r="391" s="8" customFormat="1" ht="15.75" customHeight="1" x14ac:dyDescent="0.15"/>
    <row r="392" s="8" customFormat="1" ht="15.75" customHeight="1" x14ac:dyDescent="0.15"/>
    <row r="393" s="8" customFormat="1" ht="15.75" customHeight="1" x14ac:dyDescent="0.15"/>
    <row r="394" s="8" customFormat="1" ht="15.75" customHeight="1" x14ac:dyDescent="0.15"/>
    <row r="395" s="8" customFormat="1" ht="15.75" customHeight="1" x14ac:dyDescent="0.15"/>
    <row r="396" s="8" customFormat="1" ht="15.75" customHeight="1" x14ac:dyDescent="0.15"/>
    <row r="397" s="8" customFormat="1" ht="15.75" customHeight="1" x14ac:dyDescent="0.15"/>
    <row r="398" s="8" customFormat="1" ht="15.75" customHeight="1" x14ac:dyDescent="0.15"/>
    <row r="399" s="8" customFormat="1" ht="15.75" customHeight="1" x14ac:dyDescent="0.15"/>
    <row r="400" s="8" customFormat="1" ht="15.75" customHeight="1" x14ac:dyDescent="0.15"/>
    <row r="401" s="8" customFormat="1" ht="15.75" customHeight="1" x14ac:dyDescent="0.15"/>
    <row r="402" s="8" customFormat="1" ht="15.75" customHeight="1" x14ac:dyDescent="0.15"/>
    <row r="403" s="8" customFormat="1" ht="15.75" customHeight="1" x14ac:dyDescent="0.15"/>
    <row r="404" s="8" customFormat="1" ht="15.75" customHeight="1" x14ac:dyDescent="0.15"/>
    <row r="405" s="8" customFormat="1" ht="15.75" customHeight="1" x14ac:dyDescent="0.15"/>
    <row r="406" s="8" customFormat="1" ht="15.75" customHeight="1" x14ac:dyDescent="0.15"/>
    <row r="407" s="8" customFormat="1" ht="15.75" customHeight="1" x14ac:dyDescent="0.15"/>
    <row r="408" s="8" customFormat="1" ht="15.75" customHeight="1" x14ac:dyDescent="0.15"/>
    <row r="409" s="8" customFormat="1" ht="15.75" customHeight="1" x14ac:dyDescent="0.15"/>
    <row r="410" s="8" customFormat="1" ht="15.75" customHeight="1" x14ac:dyDescent="0.15"/>
    <row r="411" s="8" customFormat="1" ht="15.75" customHeight="1" x14ac:dyDescent="0.15"/>
    <row r="412" s="8" customFormat="1" ht="15.75" customHeight="1" x14ac:dyDescent="0.15"/>
    <row r="413" s="8" customFormat="1" ht="15.75" customHeight="1" x14ac:dyDescent="0.15"/>
    <row r="414" s="8" customFormat="1" ht="15.75" customHeight="1" x14ac:dyDescent="0.15"/>
    <row r="415" s="8" customFormat="1" ht="15.75" customHeight="1" x14ac:dyDescent="0.15"/>
    <row r="416" s="8" customFormat="1" ht="15.75" customHeight="1" x14ac:dyDescent="0.15"/>
    <row r="417" s="8" customFormat="1" ht="15.75" customHeight="1" x14ac:dyDescent="0.15"/>
    <row r="418" s="8" customFormat="1" ht="15.75" customHeight="1" x14ac:dyDescent="0.15"/>
    <row r="419" s="8" customFormat="1" ht="15.75" customHeight="1" x14ac:dyDescent="0.15"/>
    <row r="420" s="8" customFormat="1" ht="15.75" customHeight="1" x14ac:dyDescent="0.15"/>
    <row r="421" s="8" customFormat="1" ht="15.75" customHeight="1" x14ac:dyDescent="0.15"/>
    <row r="422" s="8" customFormat="1" ht="15.75" customHeight="1" x14ac:dyDescent="0.15"/>
    <row r="423" s="8" customFormat="1" ht="15.75" customHeight="1" x14ac:dyDescent="0.15"/>
    <row r="424" s="8" customFormat="1" ht="15.75" customHeight="1" x14ac:dyDescent="0.15"/>
    <row r="425" s="8" customFormat="1" ht="15.75" customHeight="1" x14ac:dyDescent="0.15"/>
    <row r="426" s="8" customFormat="1" ht="15.75" customHeight="1" x14ac:dyDescent="0.15"/>
    <row r="427" s="8" customFormat="1" ht="15.75" customHeight="1" x14ac:dyDescent="0.15"/>
    <row r="428" s="8" customFormat="1" ht="15.75" customHeight="1" x14ac:dyDescent="0.15"/>
    <row r="429" s="8" customFormat="1" ht="15.75" customHeight="1" x14ac:dyDescent="0.15"/>
    <row r="430" s="8" customFormat="1" ht="15.75" customHeight="1" x14ac:dyDescent="0.15"/>
    <row r="431" s="8" customFormat="1" ht="15.75" customHeight="1" x14ac:dyDescent="0.15"/>
    <row r="432" s="8" customFormat="1" ht="15.75" customHeight="1" x14ac:dyDescent="0.15"/>
    <row r="433" s="8" customFormat="1" ht="15.75" customHeight="1" x14ac:dyDescent="0.15"/>
    <row r="434" s="8" customFormat="1" ht="15.75" customHeight="1" x14ac:dyDescent="0.15"/>
    <row r="435" s="8" customFormat="1" ht="15.75" customHeight="1" x14ac:dyDescent="0.15"/>
    <row r="436" s="8" customFormat="1" ht="15.75" customHeight="1" x14ac:dyDescent="0.15"/>
    <row r="437" s="8" customFormat="1" ht="15.75" customHeight="1" x14ac:dyDescent="0.15"/>
    <row r="438" s="8" customFormat="1" ht="15.75" customHeight="1" x14ac:dyDescent="0.15"/>
    <row r="439" s="8" customFormat="1" ht="15.75" customHeight="1" x14ac:dyDescent="0.15"/>
    <row r="440" s="8" customFormat="1" ht="15.75" customHeight="1" x14ac:dyDescent="0.15"/>
    <row r="441" s="8" customFormat="1" ht="15.75" customHeight="1" x14ac:dyDescent="0.15"/>
    <row r="442" s="8" customFormat="1" ht="15.75" customHeight="1" x14ac:dyDescent="0.15"/>
    <row r="443" s="8" customFormat="1" ht="15.75" customHeight="1" x14ac:dyDescent="0.15"/>
    <row r="444" s="8" customFormat="1" ht="15.75" customHeight="1" x14ac:dyDescent="0.15"/>
    <row r="445" s="8" customFormat="1" ht="15.75" customHeight="1" x14ac:dyDescent="0.15"/>
    <row r="446" s="8" customFormat="1" ht="15.75" customHeight="1" x14ac:dyDescent="0.15"/>
    <row r="447" s="8" customFormat="1" ht="15.75" customHeight="1" x14ac:dyDescent="0.15"/>
    <row r="448" s="8" customFormat="1" ht="15.75" customHeight="1" x14ac:dyDescent="0.15"/>
    <row r="449" s="8" customFormat="1" ht="15.75" customHeight="1" x14ac:dyDescent="0.15"/>
    <row r="450" s="8" customFormat="1" ht="15.75" customHeight="1" x14ac:dyDescent="0.15"/>
    <row r="451" s="8" customFormat="1" ht="15.75" customHeight="1" x14ac:dyDescent="0.15"/>
    <row r="452" s="8" customFormat="1" ht="15.75" customHeight="1" x14ac:dyDescent="0.15"/>
    <row r="453" s="8" customFormat="1" ht="15.75" customHeight="1" x14ac:dyDescent="0.15"/>
    <row r="454" s="8" customFormat="1" ht="15.75" customHeight="1" x14ac:dyDescent="0.15"/>
    <row r="455" s="8" customFormat="1" ht="15.75" customHeight="1" x14ac:dyDescent="0.15"/>
    <row r="456" s="8" customFormat="1" ht="15.75" customHeight="1" x14ac:dyDescent="0.15"/>
    <row r="457" s="8" customFormat="1" ht="15.75" customHeight="1" x14ac:dyDescent="0.15"/>
    <row r="458" s="8" customFormat="1" ht="15.75" customHeight="1" x14ac:dyDescent="0.15"/>
    <row r="459" s="8" customFormat="1" ht="15.75" customHeight="1" x14ac:dyDescent="0.15"/>
    <row r="460" s="8" customFormat="1" ht="15.75" customHeight="1" x14ac:dyDescent="0.15"/>
    <row r="461" s="8" customFormat="1" ht="15.75" customHeight="1" x14ac:dyDescent="0.15"/>
    <row r="462" s="8" customFormat="1" ht="15.75" customHeight="1" x14ac:dyDescent="0.15"/>
    <row r="463" s="8" customFormat="1" ht="15.75" customHeight="1" x14ac:dyDescent="0.15"/>
    <row r="464" s="8" customFormat="1" ht="15.75" customHeight="1" x14ac:dyDescent="0.15"/>
    <row r="465" s="8" customFormat="1" ht="15.75" customHeight="1" x14ac:dyDescent="0.15"/>
    <row r="466" s="8" customFormat="1" ht="15.75" customHeight="1" x14ac:dyDescent="0.15"/>
    <row r="467" s="8" customFormat="1" ht="15.75" customHeight="1" x14ac:dyDescent="0.15"/>
    <row r="468" s="8" customFormat="1" ht="15.75" customHeight="1" x14ac:dyDescent="0.15"/>
    <row r="469" s="8" customFormat="1" ht="15.75" customHeight="1" x14ac:dyDescent="0.15"/>
    <row r="470" s="8" customFormat="1" ht="15.75" customHeight="1" x14ac:dyDescent="0.15"/>
    <row r="471" s="8" customFormat="1" ht="15.75" customHeight="1" x14ac:dyDescent="0.15"/>
    <row r="472" s="8" customFormat="1" ht="15.75" customHeight="1" x14ac:dyDescent="0.15"/>
    <row r="473" s="8" customFormat="1" ht="15.75" customHeight="1" x14ac:dyDescent="0.15"/>
    <row r="474" s="8" customFormat="1" ht="15.75" customHeight="1" x14ac:dyDescent="0.15"/>
    <row r="475" s="8" customFormat="1" ht="15.75" customHeight="1" x14ac:dyDescent="0.15"/>
    <row r="476" s="8" customFormat="1" ht="15.75" customHeight="1" x14ac:dyDescent="0.15"/>
    <row r="477" s="8" customFormat="1" ht="15.75" customHeight="1" x14ac:dyDescent="0.15"/>
    <row r="478" s="8" customFormat="1" ht="15.75" customHeight="1" x14ac:dyDescent="0.15"/>
    <row r="479" s="8" customFormat="1" ht="15.75" customHeight="1" x14ac:dyDescent="0.15"/>
    <row r="480" s="8" customFormat="1" ht="15.75" customHeight="1" x14ac:dyDescent="0.15"/>
    <row r="481" s="8" customFormat="1" ht="15.75" customHeight="1" x14ac:dyDescent="0.15"/>
    <row r="482" s="8" customFormat="1" ht="15.75" customHeight="1" x14ac:dyDescent="0.15"/>
    <row r="483" s="8" customFormat="1" ht="15.75" customHeight="1" x14ac:dyDescent="0.15"/>
    <row r="484" s="8" customFormat="1" ht="15.75" customHeight="1" x14ac:dyDescent="0.15"/>
    <row r="485" s="8" customFormat="1" ht="15.75" customHeight="1" x14ac:dyDescent="0.15"/>
    <row r="486" s="8" customFormat="1" ht="15.75" customHeight="1" x14ac:dyDescent="0.15"/>
    <row r="487" s="8" customFormat="1" ht="15.75" customHeight="1" x14ac:dyDescent="0.15"/>
    <row r="488" s="8" customFormat="1" ht="15.75" customHeight="1" x14ac:dyDescent="0.15"/>
    <row r="489" s="8" customFormat="1" ht="15.75" customHeight="1" x14ac:dyDescent="0.15"/>
    <row r="490" s="8" customFormat="1" ht="15.75" customHeight="1" x14ac:dyDescent="0.15"/>
    <row r="491" s="8" customFormat="1" ht="15.75" customHeight="1" x14ac:dyDescent="0.15"/>
    <row r="492" s="8" customFormat="1" ht="15.75" customHeight="1" x14ac:dyDescent="0.15"/>
    <row r="493" s="8" customFormat="1" ht="15.75" customHeight="1" x14ac:dyDescent="0.15"/>
    <row r="494" s="8" customFormat="1" ht="15.75" customHeight="1" x14ac:dyDescent="0.15"/>
    <row r="495" s="8" customFormat="1" ht="15.75" customHeight="1" x14ac:dyDescent="0.15"/>
    <row r="496" s="8" customFormat="1" ht="15.75" customHeight="1" x14ac:dyDescent="0.15"/>
    <row r="497" s="8" customFormat="1" ht="15.75" customHeight="1" x14ac:dyDescent="0.15"/>
    <row r="498" s="8" customFormat="1" ht="15.75" customHeight="1" x14ac:dyDescent="0.15"/>
    <row r="499" s="8" customFormat="1" ht="15.75" customHeight="1" x14ac:dyDescent="0.15"/>
    <row r="500" s="8" customFormat="1" ht="15.75" customHeight="1" x14ac:dyDescent="0.15"/>
    <row r="501" s="8" customFormat="1" ht="15.75" customHeight="1" x14ac:dyDescent="0.15"/>
    <row r="502" s="8" customFormat="1" ht="15.75" customHeight="1" x14ac:dyDescent="0.15"/>
    <row r="503" s="8" customFormat="1" ht="15.75" customHeight="1" x14ac:dyDescent="0.15"/>
    <row r="504" s="8" customFormat="1" ht="15.75" customHeight="1" x14ac:dyDescent="0.15"/>
    <row r="505" s="8" customFormat="1" ht="15.75" customHeight="1" x14ac:dyDescent="0.15"/>
    <row r="506" s="8" customFormat="1" ht="15.75" customHeight="1" x14ac:dyDescent="0.15"/>
    <row r="507" s="8" customFormat="1" ht="15.75" customHeight="1" x14ac:dyDescent="0.15"/>
    <row r="508" s="8" customFormat="1" ht="15.75" customHeight="1" x14ac:dyDescent="0.15"/>
    <row r="509" s="8" customFormat="1" ht="15.75" customHeight="1" x14ac:dyDescent="0.15"/>
    <row r="510" s="8" customFormat="1" ht="15.75" customHeight="1" x14ac:dyDescent="0.15"/>
    <row r="511" s="8" customFormat="1" ht="15.75" customHeight="1" x14ac:dyDescent="0.15"/>
    <row r="512" s="8" customFormat="1" ht="15.75" customHeight="1" x14ac:dyDescent="0.15"/>
    <row r="513" s="8" customFormat="1" ht="15.75" customHeight="1" x14ac:dyDescent="0.15"/>
    <row r="514" s="8" customFormat="1" ht="15.75" customHeight="1" x14ac:dyDescent="0.15"/>
    <row r="515" s="8" customFormat="1" ht="15.75" customHeight="1" x14ac:dyDescent="0.15"/>
    <row r="516" s="8" customFormat="1" ht="15.75" customHeight="1" x14ac:dyDescent="0.15"/>
    <row r="517" s="8" customFormat="1" ht="15.75" customHeight="1" x14ac:dyDescent="0.15"/>
    <row r="518" s="8" customFormat="1" ht="15.75" customHeight="1" x14ac:dyDescent="0.15"/>
    <row r="519" s="8" customFormat="1" ht="15.75" customHeight="1" x14ac:dyDescent="0.15"/>
    <row r="520" s="8" customFormat="1" ht="15.75" customHeight="1" x14ac:dyDescent="0.15"/>
    <row r="521" s="8" customFormat="1" ht="15.75" customHeight="1" x14ac:dyDescent="0.15"/>
    <row r="522" s="8" customFormat="1" ht="15.75" customHeight="1" x14ac:dyDescent="0.15"/>
    <row r="523" s="8" customFormat="1" ht="15.75" customHeight="1" x14ac:dyDescent="0.15"/>
    <row r="524" s="8" customFormat="1" ht="15.75" customHeight="1" x14ac:dyDescent="0.15"/>
    <row r="525" s="8" customFormat="1" ht="15.75" customHeight="1" x14ac:dyDescent="0.15"/>
    <row r="526" s="8" customFormat="1" ht="15.75" customHeight="1" x14ac:dyDescent="0.15"/>
    <row r="527" s="8" customFormat="1" ht="15.75" customHeight="1" x14ac:dyDescent="0.15"/>
    <row r="528" s="8" customFormat="1" ht="15.75" customHeight="1" x14ac:dyDescent="0.15"/>
    <row r="529" s="8" customFormat="1" ht="15.75" customHeight="1" x14ac:dyDescent="0.15"/>
    <row r="530" s="8" customFormat="1" ht="15.75" customHeight="1" x14ac:dyDescent="0.15"/>
    <row r="531" s="8" customFormat="1" ht="15.75" customHeight="1" x14ac:dyDescent="0.15"/>
    <row r="532" s="8" customFormat="1" ht="15.75" customHeight="1" x14ac:dyDescent="0.15"/>
    <row r="533" s="8" customFormat="1" ht="15.75" customHeight="1" x14ac:dyDescent="0.15"/>
    <row r="534" s="8" customFormat="1" ht="15.75" customHeight="1" x14ac:dyDescent="0.15"/>
    <row r="535" s="8" customFormat="1" ht="15.75" customHeight="1" x14ac:dyDescent="0.15"/>
    <row r="536" s="8" customFormat="1" ht="15.75" customHeight="1" x14ac:dyDescent="0.15"/>
    <row r="537" s="8" customFormat="1" ht="15.75" customHeight="1" x14ac:dyDescent="0.15"/>
    <row r="538" s="8" customFormat="1" ht="15.75" customHeight="1" x14ac:dyDescent="0.15"/>
    <row r="539" s="8" customFormat="1" ht="15.75" customHeight="1" x14ac:dyDescent="0.15"/>
    <row r="540" s="8" customFormat="1" ht="15.75" customHeight="1" x14ac:dyDescent="0.15"/>
    <row r="541" s="8" customFormat="1" ht="15.75" customHeight="1" x14ac:dyDescent="0.15"/>
    <row r="542" s="8" customFormat="1" ht="15.75" customHeight="1" x14ac:dyDescent="0.15"/>
    <row r="543" s="8" customFormat="1" ht="15.75" customHeight="1" x14ac:dyDescent="0.15"/>
    <row r="544" s="8" customFormat="1" ht="15.75" customHeight="1" x14ac:dyDescent="0.15"/>
    <row r="545" s="8" customFormat="1" ht="15.75" customHeight="1" x14ac:dyDescent="0.15"/>
    <row r="546" s="8" customFormat="1" ht="15.75" customHeight="1" x14ac:dyDescent="0.15"/>
    <row r="547" s="8" customFormat="1" ht="15.75" customHeight="1" x14ac:dyDescent="0.15"/>
    <row r="548" s="8" customFormat="1" ht="15.75" customHeight="1" x14ac:dyDescent="0.15"/>
    <row r="549" s="8" customFormat="1" ht="15.75" customHeight="1" x14ac:dyDescent="0.15"/>
    <row r="550" s="8" customFormat="1" ht="15.75" customHeight="1" x14ac:dyDescent="0.15"/>
    <row r="551" s="8" customFormat="1" ht="15.75" customHeight="1" x14ac:dyDescent="0.15"/>
    <row r="552" s="8" customFormat="1" ht="15.75" customHeight="1" x14ac:dyDescent="0.15"/>
    <row r="553" s="8" customFormat="1" ht="15.75" customHeight="1" x14ac:dyDescent="0.15"/>
    <row r="554" s="8" customFormat="1" ht="15.75" customHeight="1" x14ac:dyDescent="0.15"/>
    <row r="555" s="8" customFormat="1" ht="15.75" customHeight="1" x14ac:dyDescent="0.15"/>
    <row r="556" s="8" customFormat="1" ht="15.75" customHeight="1" x14ac:dyDescent="0.15"/>
    <row r="557" s="8" customFormat="1" ht="15.75" customHeight="1" x14ac:dyDescent="0.15"/>
    <row r="558" s="8" customFormat="1" ht="15.75" customHeight="1" x14ac:dyDescent="0.15"/>
    <row r="559" s="8" customFormat="1" ht="15.75" customHeight="1" x14ac:dyDescent="0.15"/>
    <row r="560" s="8" customFormat="1" ht="15.75" customHeight="1" x14ac:dyDescent="0.15"/>
    <row r="561" s="8" customFormat="1" ht="15.75" customHeight="1" x14ac:dyDescent="0.15"/>
    <row r="562" s="8" customFormat="1" ht="15.75" customHeight="1" x14ac:dyDescent="0.15"/>
    <row r="563" s="8" customFormat="1" ht="15.75" customHeight="1" x14ac:dyDescent="0.15"/>
    <row r="564" s="8" customFormat="1" ht="15.75" customHeight="1" x14ac:dyDescent="0.15"/>
    <row r="565" s="8" customFormat="1" ht="15.75" customHeight="1" x14ac:dyDescent="0.15"/>
    <row r="566" s="8" customFormat="1" ht="15.75" customHeight="1" x14ac:dyDescent="0.15"/>
    <row r="567" s="8" customFormat="1" ht="15.75" customHeight="1" x14ac:dyDescent="0.15"/>
    <row r="568" s="8" customFormat="1" ht="15.75" customHeight="1" x14ac:dyDescent="0.15"/>
    <row r="569" s="8" customFormat="1" ht="15.75" customHeight="1" x14ac:dyDescent="0.15"/>
    <row r="570" s="8" customFormat="1" ht="15.75" customHeight="1" x14ac:dyDescent="0.15"/>
    <row r="571" s="8" customFormat="1" ht="15.75" customHeight="1" x14ac:dyDescent="0.15"/>
    <row r="572" s="8" customFormat="1" ht="15.75" customHeight="1" x14ac:dyDescent="0.15"/>
    <row r="573" s="8" customFormat="1" ht="15.75" customHeight="1" x14ac:dyDescent="0.15"/>
    <row r="574" s="8" customFormat="1" ht="15.75" customHeight="1" x14ac:dyDescent="0.15"/>
    <row r="575" s="8" customFormat="1" ht="15.75" customHeight="1" x14ac:dyDescent="0.15"/>
    <row r="576" s="8" customFormat="1" ht="15.75" customHeight="1" x14ac:dyDescent="0.15"/>
    <row r="577" s="8" customFormat="1" ht="15.75" customHeight="1" x14ac:dyDescent="0.15"/>
    <row r="578" s="8" customFormat="1" ht="15.75" customHeight="1" x14ac:dyDescent="0.15"/>
    <row r="579" s="8" customFormat="1" ht="15.75" customHeight="1" x14ac:dyDescent="0.15"/>
    <row r="580" s="8" customFormat="1" ht="15.75" customHeight="1" x14ac:dyDescent="0.15"/>
    <row r="581" s="8" customFormat="1" ht="15.75" customHeight="1" x14ac:dyDescent="0.15"/>
    <row r="582" s="8" customFormat="1" ht="15.75" customHeight="1" x14ac:dyDescent="0.15"/>
    <row r="583" s="8" customFormat="1" ht="15.75" customHeight="1" x14ac:dyDescent="0.15"/>
    <row r="584" s="8" customFormat="1" ht="15.75" customHeight="1" x14ac:dyDescent="0.15"/>
    <row r="585" s="8" customFormat="1" ht="15.75" customHeight="1" x14ac:dyDescent="0.15"/>
    <row r="586" s="8" customFormat="1" ht="15.75" customHeight="1" x14ac:dyDescent="0.15"/>
    <row r="587" s="8" customFormat="1" ht="15.75" customHeight="1" x14ac:dyDescent="0.15"/>
    <row r="588" s="8" customFormat="1" ht="15.75" customHeight="1" x14ac:dyDescent="0.15"/>
    <row r="589" s="8" customFormat="1" ht="15.75" customHeight="1" x14ac:dyDescent="0.15"/>
    <row r="590" s="8" customFormat="1" ht="15.75" customHeight="1" x14ac:dyDescent="0.15"/>
    <row r="591" s="8" customFormat="1" ht="15.75" customHeight="1" x14ac:dyDescent="0.15"/>
    <row r="592" s="8" customFormat="1" ht="15.75" customHeight="1" x14ac:dyDescent="0.15"/>
    <row r="593" s="8" customFormat="1" ht="15.75" customHeight="1" x14ac:dyDescent="0.15"/>
    <row r="594" s="8" customFormat="1" ht="15.75" customHeight="1" x14ac:dyDescent="0.15"/>
    <row r="595" s="8" customFormat="1" ht="15.75" customHeight="1" x14ac:dyDescent="0.15"/>
    <row r="596" s="8" customFormat="1" ht="15.75" customHeight="1" x14ac:dyDescent="0.15"/>
    <row r="597" s="8" customFormat="1" ht="15.75" customHeight="1" x14ac:dyDescent="0.15"/>
    <row r="598" s="8" customFormat="1" ht="15.75" customHeight="1" x14ac:dyDescent="0.15"/>
    <row r="599" s="8" customFormat="1" ht="15.75" customHeight="1" x14ac:dyDescent="0.15"/>
    <row r="600" s="8" customFormat="1" ht="15.75" customHeight="1" x14ac:dyDescent="0.15"/>
    <row r="601" s="8" customFormat="1" ht="15.75" customHeight="1" x14ac:dyDescent="0.15"/>
    <row r="602" s="8" customFormat="1" ht="15.75" customHeight="1" x14ac:dyDescent="0.15"/>
    <row r="603" s="8" customFormat="1" ht="15.75" customHeight="1" x14ac:dyDescent="0.15"/>
    <row r="604" s="8" customFormat="1" ht="15.75" customHeight="1" x14ac:dyDescent="0.15"/>
    <row r="605" s="8" customFormat="1" ht="15.75" customHeight="1" x14ac:dyDescent="0.15"/>
    <row r="606" s="8" customFormat="1" ht="15.75" customHeight="1" x14ac:dyDescent="0.15"/>
    <row r="607" s="8" customFormat="1" ht="15.75" customHeight="1" x14ac:dyDescent="0.15"/>
    <row r="608" s="8" customFormat="1" ht="15.75" customHeight="1" x14ac:dyDescent="0.15"/>
    <row r="609" s="8" customFormat="1" ht="15.75" customHeight="1" x14ac:dyDescent="0.15"/>
    <row r="610" s="8" customFormat="1" ht="15.75" customHeight="1" x14ac:dyDescent="0.15"/>
    <row r="611" s="8" customFormat="1" ht="15.75" customHeight="1" x14ac:dyDescent="0.15"/>
    <row r="612" s="8" customFormat="1" ht="15.75" customHeight="1" x14ac:dyDescent="0.15"/>
    <row r="613" s="8" customFormat="1" ht="15.75" customHeight="1" x14ac:dyDescent="0.15"/>
    <row r="614" s="8" customFormat="1" ht="15.75" customHeight="1" x14ac:dyDescent="0.15"/>
    <row r="615" s="8" customFormat="1" ht="15.75" customHeight="1" x14ac:dyDescent="0.15"/>
    <row r="616" s="8" customFormat="1" ht="15.75" customHeight="1" x14ac:dyDescent="0.15"/>
    <row r="617" s="8" customFormat="1" ht="15.75" customHeight="1" x14ac:dyDescent="0.15"/>
    <row r="618" s="8" customFormat="1" ht="15.75" customHeight="1" x14ac:dyDescent="0.15"/>
    <row r="619" s="8" customFormat="1" ht="15.75" customHeight="1" x14ac:dyDescent="0.15"/>
    <row r="620" s="8" customFormat="1" ht="15.75" customHeight="1" x14ac:dyDescent="0.15"/>
    <row r="621" s="8" customFormat="1" ht="15.75" customHeight="1" x14ac:dyDescent="0.15"/>
    <row r="622" s="8" customFormat="1" ht="15.75" customHeight="1" x14ac:dyDescent="0.15"/>
    <row r="623" s="8" customFormat="1" ht="15.75" customHeight="1" x14ac:dyDescent="0.15"/>
    <row r="624" s="8" customFormat="1" ht="15.75" customHeight="1" x14ac:dyDescent="0.15"/>
    <row r="625" s="8" customFormat="1" ht="15.75" customHeight="1" x14ac:dyDescent="0.15"/>
    <row r="626" s="8" customFormat="1" ht="15.75" customHeight="1" x14ac:dyDescent="0.15"/>
    <row r="627" s="8" customFormat="1" ht="15.75" customHeight="1" x14ac:dyDescent="0.15"/>
    <row r="628" s="8" customFormat="1" ht="15.75" customHeight="1" x14ac:dyDescent="0.15"/>
    <row r="629" s="8" customFormat="1" ht="15.75" customHeight="1" x14ac:dyDescent="0.15"/>
    <row r="630" s="8" customFormat="1" ht="15.75" customHeight="1" x14ac:dyDescent="0.15"/>
    <row r="631" s="8" customFormat="1" ht="15.75" customHeight="1" x14ac:dyDescent="0.15"/>
    <row r="632" s="8" customFormat="1" ht="15.75" customHeight="1" x14ac:dyDescent="0.15"/>
    <row r="633" s="8" customFormat="1" ht="15.75" customHeight="1" x14ac:dyDescent="0.15"/>
    <row r="634" s="8" customFormat="1" ht="15.75" customHeight="1" x14ac:dyDescent="0.15"/>
    <row r="635" s="8" customFormat="1" ht="15.75" customHeight="1" x14ac:dyDescent="0.15"/>
    <row r="636" s="8" customFormat="1" ht="15.75" customHeight="1" x14ac:dyDescent="0.15"/>
    <row r="637" s="8" customFormat="1" ht="15.75" customHeight="1" x14ac:dyDescent="0.15"/>
    <row r="638" s="8" customFormat="1" ht="15.75" customHeight="1" x14ac:dyDescent="0.15"/>
    <row r="639" s="8" customFormat="1" ht="15.75" customHeight="1" x14ac:dyDescent="0.15"/>
    <row r="640" s="8" customFormat="1" ht="15.75" customHeight="1" x14ac:dyDescent="0.15"/>
    <row r="641" s="8" customFormat="1" ht="15.75" customHeight="1" x14ac:dyDescent="0.15"/>
    <row r="642" s="8" customFormat="1" ht="15.75" customHeight="1" x14ac:dyDescent="0.15"/>
    <row r="643" s="8" customFormat="1" ht="15.75" customHeight="1" x14ac:dyDescent="0.15"/>
    <row r="644" s="8" customFormat="1" ht="15.75" customHeight="1" x14ac:dyDescent="0.15"/>
    <row r="645" s="8" customFormat="1" ht="15.75" customHeight="1" x14ac:dyDescent="0.15"/>
    <row r="646" s="8" customFormat="1" ht="15.75" customHeight="1" x14ac:dyDescent="0.15"/>
    <row r="647" s="8" customFormat="1" ht="15.75" customHeight="1" x14ac:dyDescent="0.15"/>
    <row r="648" s="8" customFormat="1" ht="15.75" customHeight="1" x14ac:dyDescent="0.15"/>
    <row r="649" s="8" customFormat="1" ht="15.75" customHeight="1" x14ac:dyDescent="0.15"/>
    <row r="650" s="8" customFormat="1" ht="15.75" customHeight="1" x14ac:dyDescent="0.15"/>
    <row r="651" s="8" customFormat="1" ht="15.75" customHeight="1" x14ac:dyDescent="0.15"/>
    <row r="652" s="8" customFormat="1" ht="15.75" customHeight="1" x14ac:dyDescent="0.15"/>
    <row r="653" s="8" customFormat="1" ht="15.75" customHeight="1" x14ac:dyDescent="0.15"/>
    <row r="654" s="8" customFormat="1" ht="15.75" customHeight="1" x14ac:dyDescent="0.15"/>
    <row r="655" s="8" customFormat="1" ht="15.75" customHeight="1" x14ac:dyDescent="0.15"/>
    <row r="656" s="8" customFormat="1" ht="15.75" customHeight="1" x14ac:dyDescent="0.15"/>
    <row r="657" s="8" customFormat="1" ht="15.75" customHeight="1" x14ac:dyDescent="0.15"/>
    <row r="658" s="8" customFormat="1" ht="15.75" customHeight="1" x14ac:dyDescent="0.15"/>
    <row r="659" s="8" customFormat="1" ht="15.75" customHeight="1" x14ac:dyDescent="0.15"/>
    <row r="660" s="8" customFormat="1" ht="15.75" customHeight="1" x14ac:dyDescent="0.15"/>
    <row r="661" s="8" customFormat="1" ht="15.75" customHeight="1" x14ac:dyDescent="0.15"/>
    <row r="662" s="8" customFormat="1" ht="15.75" customHeight="1" x14ac:dyDescent="0.15"/>
    <row r="663" s="8" customFormat="1" ht="15.75" customHeight="1" x14ac:dyDescent="0.15"/>
    <row r="664" s="8" customFormat="1" ht="15.75" customHeight="1" x14ac:dyDescent="0.15"/>
    <row r="665" s="8" customFormat="1" ht="15.75" customHeight="1" x14ac:dyDescent="0.15"/>
    <row r="666" s="8" customFormat="1" ht="15.75" customHeight="1" x14ac:dyDescent="0.15"/>
    <row r="667" s="8" customFormat="1" ht="15.75" customHeight="1" x14ac:dyDescent="0.15"/>
    <row r="668" s="8" customFormat="1" ht="15.75" customHeight="1" x14ac:dyDescent="0.15"/>
    <row r="669" s="8" customFormat="1" ht="15.75" customHeight="1" x14ac:dyDescent="0.15"/>
    <row r="670" s="8" customFormat="1" ht="15.75" customHeight="1" x14ac:dyDescent="0.15"/>
    <row r="671" s="8" customFormat="1" ht="15.75" customHeight="1" x14ac:dyDescent="0.15"/>
    <row r="672" s="8" customFormat="1" ht="15.75" customHeight="1" x14ac:dyDescent="0.15"/>
    <row r="673" s="8" customFormat="1" ht="15.75" customHeight="1" x14ac:dyDescent="0.15"/>
    <row r="674" s="8" customFormat="1" ht="15.75" customHeight="1" x14ac:dyDescent="0.15"/>
    <row r="675" s="8" customFormat="1" ht="15.75" customHeight="1" x14ac:dyDescent="0.15"/>
    <row r="676" s="8" customFormat="1" ht="15.75" customHeight="1" x14ac:dyDescent="0.15"/>
    <row r="677" s="8" customFormat="1" ht="15.75" customHeight="1" x14ac:dyDescent="0.15"/>
    <row r="678" s="8" customFormat="1" ht="15.75" customHeight="1" x14ac:dyDescent="0.15"/>
    <row r="679" s="8" customFormat="1" ht="15.75" customHeight="1" x14ac:dyDescent="0.15"/>
    <row r="680" s="8" customFormat="1" ht="15.75" customHeight="1" x14ac:dyDescent="0.15"/>
    <row r="681" s="8" customFormat="1" ht="15.75" customHeight="1" x14ac:dyDescent="0.15"/>
    <row r="682" s="8" customFormat="1" ht="15.75" customHeight="1" x14ac:dyDescent="0.15"/>
    <row r="683" s="8" customFormat="1" ht="15.75" customHeight="1" x14ac:dyDescent="0.15"/>
    <row r="684" s="8" customFormat="1" ht="15.75" customHeight="1" x14ac:dyDescent="0.15"/>
    <row r="685" s="8" customFormat="1" ht="15.75" customHeight="1" x14ac:dyDescent="0.15"/>
    <row r="686" s="8" customFormat="1" ht="15.75" customHeight="1" x14ac:dyDescent="0.15"/>
    <row r="687" s="8" customFormat="1" ht="15.75" customHeight="1" x14ac:dyDescent="0.15"/>
    <row r="688" s="8" customFormat="1" ht="15.75" customHeight="1" x14ac:dyDescent="0.15"/>
    <row r="689" s="8" customFormat="1" ht="15.75" customHeight="1" x14ac:dyDescent="0.15"/>
    <row r="690" s="8" customFormat="1" ht="15.75" customHeight="1" x14ac:dyDescent="0.15"/>
    <row r="691" s="8" customFormat="1" ht="15.75" customHeight="1" x14ac:dyDescent="0.15"/>
    <row r="692" s="8" customFormat="1" ht="15.75" customHeight="1" x14ac:dyDescent="0.15"/>
    <row r="693" s="8" customFormat="1" ht="15.75" customHeight="1" x14ac:dyDescent="0.15"/>
    <row r="694" s="8" customFormat="1" ht="15.75" customHeight="1" x14ac:dyDescent="0.15"/>
    <row r="695" s="8" customFormat="1" ht="15.75" customHeight="1" x14ac:dyDescent="0.15"/>
    <row r="696" s="8" customFormat="1" ht="15.75" customHeight="1" x14ac:dyDescent="0.15"/>
    <row r="697" s="8" customFormat="1" ht="15.75" customHeight="1" x14ac:dyDescent="0.15"/>
    <row r="698" s="8" customFormat="1" ht="15.75" customHeight="1" x14ac:dyDescent="0.15"/>
    <row r="699" s="8" customFormat="1" ht="15.75" customHeight="1" x14ac:dyDescent="0.15"/>
    <row r="700" s="8" customFormat="1" ht="15.75" customHeight="1" x14ac:dyDescent="0.15"/>
    <row r="701" s="8" customFormat="1" ht="15.75" customHeight="1" x14ac:dyDescent="0.15"/>
    <row r="702" s="8" customFormat="1" ht="15.75" customHeight="1" x14ac:dyDescent="0.15"/>
    <row r="703" s="8" customFormat="1" ht="15.75" customHeight="1" x14ac:dyDescent="0.15"/>
    <row r="704" s="8" customFormat="1" ht="15.75" customHeight="1" x14ac:dyDescent="0.15"/>
    <row r="705" s="8" customFormat="1" ht="15.75" customHeight="1" x14ac:dyDescent="0.15"/>
    <row r="706" s="8" customFormat="1" ht="15.75" customHeight="1" x14ac:dyDescent="0.15"/>
    <row r="707" s="8" customFormat="1" ht="15.75" customHeight="1" x14ac:dyDescent="0.15"/>
    <row r="708" s="8" customFormat="1" ht="15.75" customHeight="1" x14ac:dyDescent="0.15"/>
    <row r="709" s="8" customFormat="1" ht="15.75" customHeight="1" x14ac:dyDescent="0.15"/>
    <row r="710" s="8" customFormat="1" ht="15.75" customHeight="1" x14ac:dyDescent="0.15"/>
    <row r="711" s="8" customFormat="1" ht="15.75" customHeight="1" x14ac:dyDescent="0.15"/>
    <row r="712" s="8" customFormat="1" ht="15.75" customHeight="1" x14ac:dyDescent="0.15"/>
    <row r="713" s="8" customFormat="1" ht="15.75" customHeight="1" x14ac:dyDescent="0.15"/>
    <row r="714" s="8" customFormat="1" ht="15.75" customHeight="1" x14ac:dyDescent="0.15"/>
    <row r="715" s="8" customFormat="1" ht="15.75" customHeight="1" x14ac:dyDescent="0.15"/>
    <row r="716" s="8" customFormat="1" ht="15.75" customHeight="1" x14ac:dyDescent="0.15"/>
    <row r="717" s="8" customFormat="1" ht="15.75" customHeight="1" x14ac:dyDescent="0.15"/>
    <row r="718" s="8" customFormat="1" ht="15.75" customHeight="1" x14ac:dyDescent="0.15"/>
    <row r="719" s="8" customFormat="1" ht="15.75" customHeight="1" x14ac:dyDescent="0.15"/>
    <row r="720" s="8" customFormat="1" ht="15.75" customHeight="1" x14ac:dyDescent="0.15"/>
    <row r="721" s="8" customFormat="1" ht="15.75" customHeight="1" x14ac:dyDescent="0.15"/>
    <row r="722" s="8" customFormat="1" ht="15.75" customHeight="1" x14ac:dyDescent="0.15"/>
    <row r="723" s="8" customFormat="1" ht="15.75" customHeight="1" x14ac:dyDescent="0.15"/>
    <row r="724" s="8" customFormat="1" ht="15.75" customHeight="1" x14ac:dyDescent="0.15"/>
    <row r="725" s="8" customFormat="1" ht="15.75" customHeight="1" x14ac:dyDescent="0.15"/>
    <row r="726" s="8" customFormat="1" ht="15.75" customHeight="1" x14ac:dyDescent="0.15"/>
    <row r="727" s="8" customFormat="1" ht="15.75" customHeight="1" x14ac:dyDescent="0.15"/>
    <row r="728" s="8" customFormat="1" ht="15.75" customHeight="1" x14ac:dyDescent="0.15"/>
    <row r="729" s="8" customFormat="1" ht="15.75" customHeight="1" x14ac:dyDescent="0.15"/>
    <row r="730" s="8" customFormat="1" ht="15.75" customHeight="1" x14ac:dyDescent="0.15"/>
    <row r="731" s="8" customFormat="1" ht="15.75" customHeight="1" x14ac:dyDescent="0.15"/>
    <row r="732" s="8" customFormat="1" ht="15.75" customHeight="1" x14ac:dyDescent="0.15"/>
    <row r="733" s="8" customFormat="1" ht="15.75" customHeight="1" x14ac:dyDescent="0.15"/>
    <row r="734" s="8" customFormat="1" ht="15.75" customHeight="1" x14ac:dyDescent="0.15"/>
    <row r="735" s="8" customFormat="1" ht="15.75" customHeight="1" x14ac:dyDescent="0.15"/>
    <row r="736" s="8" customFormat="1" ht="15.75" customHeight="1" x14ac:dyDescent="0.15"/>
    <row r="737" s="8" customFormat="1" ht="15.75" customHeight="1" x14ac:dyDescent="0.15"/>
    <row r="738" s="8" customFormat="1" ht="15.75" customHeight="1" x14ac:dyDescent="0.15"/>
    <row r="739" s="8" customFormat="1" ht="15.75" customHeight="1" x14ac:dyDescent="0.15"/>
    <row r="740" s="8" customFormat="1" ht="15.75" customHeight="1" x14ac:dyDescent="0.15"/>
    <row r="741" s="8" customFormat="1" ht="15.75" customHeight="1" x14ac:dyDescent="0.15"/>
    <row r="742" s="8" customFormat="1" ht="15.75" customHeight="1" x14ac:dyDescent="0.15"/>
    <row r="743" s="8" customFormat="1" ht="15.75" customHeight="1" x14ac:dyDescent="0.15"/>
    <row r="744" s="8" customFormat="1" ht="15.75" customHeight="1" x14ac:dyDescent="0.15"/>
    <row r="745" s="8" customFormat="1" ht="15.75" customHeight="1" x14ac:dyDescent="0.15"/>
    <row r="746" s="8" customFormat="1" ht="15.75" customHeight="1" x14ac:dyDescent="0.15"/>
    <row r="747" s="8" customFormat="1" ht="15.75" customHeight="1" x14ac:dyDescent="0.15"/>
    <row r="748" s="8" customFormat="1" ht="15.75" customHeight="1" x14ac:dyDescent="0.15"/>
    <row r="749" s="8" customFormat="1" ht="15.75" customHeight="1" x14ac:dyDescent="0.15"/>
    <row r="750" s="8" customFormat="1" ht="15.75" customHeight="1" x14ac:dyDescent="0.15"/>
    <row r="751" s="8" customFormat="1" ht="15.75" customHeight="1" x14ac:dyDescent="0.15"/>
    <row r="752" s="8" customFormat="1" ht="15.75" customHeight="1" x14ac:dyDescent="0.15"/>
    <row r="753" s="8" customFormat="1" ht="15.75" customHeight="1" x14ac:dyDescent="0.15"/>
    <row r="754" s="8" customFormat="1" ht="15.75" customHeight="1" x14ac:dyDescent="0.15"/>
    <row r="755" s="8" customFormat="1" ht="15.75" customHeight="1" x14ac:dyDescent="0.15"/>
    <row r="756" s="8" customFormat="1" ht="15.75" customHeight="1" x14ac:dyDescent="0.15"/>
    <row r="757" s="8" customFormat="1" ht="15.75" customHeight="1" x14ac:dyDescent="0.15"/>
    <row r="758" s="8" customFormat="1" ht="15.75" customHeight="1" x14ac:dyDescent="0.15"/>
    <row r="759" s="8" customFormat="1" ht="15.75" customHeight="1" x14ac:dyDescent="0.15"/>
    <row r="760" s="8" customFormat="1" ht="15.75" customHeight="1" x14ac:dyDescent="0.15"/>
    <row r="761" s="8" customFormat="1" ht="15.75" customHeight="1" x14ac:dyDescent="0.15"/>
    <row r="762" s="8" customFormat="1" ht="15.75" customHeight="1" x14ac:dyDescent="0.15"/>
    <row r="763" s="8" customFormat="1" ht="15.75" customHeight="1" x14ac:dyDescent="0.15"/>
    <row r="764" s="8" customFormat="1" ht="15.75" customHeight="1" x14ac:dyDescent="0.15"/>
    <row r="765" s="8" customFormat="1" ht="15.75" customHeight="1" x14ac:dyDescent="0.15"/>
    <row r="766" s="8" customFormat="1" ht="15.75" customHeight="1" x14ac:dyDescent="0.15"/>
    <row r="767" s="8" customFormat="1" ht="15.75" customHeight="1" x14ac:dyDescent="0.15"/>
    <row r="768" s="8" customFormat="1" ht="15.75" customHeight="1" x14ac:dyDescent="0.15"/>
    <row r="769" s="8" customFormat="1" ht="15.75" customHeight="1" x14ac:dyDescent="0.15"/>
    <row r="770" s="8" customFormat="1" ht="15.75" customHeight="1" x14ac:dyDescent="0.15"/>
    <row r="771" s="8" customFormat="1" ht="15.75" customHeight="1" x14ac:dyDescent="0.15"/>
    <row r="772" s="8" customFormat="1" ht="15.75" customHeight="1" x14ac:dyDescent="0.15"/>
    <row r="773" s="8" customFormat="1" ht="15.75" customHeight="1" x14ac:dyDescent="0.15"/>
    <row r="774" s="8" customFormat="1" ht="15.75" customHeight="1" x14ac:dyDescent="0.15"/>
    <row r="775" s="8" customFormat="1" ht="15.75" customHeight="1" x14ac:dyDescent="0.15"/>
    <row r="776" s="8" customFormat="1" ht="15.75" customHeight="1" x14ac:dyDescent="0.15"/>
    <row r="777" s="8" customFormat="1" ht="15.75" customHeight="1" x14ac:dyDescent="0.15"/>
    <row r="778" s="8" customFormat="1" ht="15.75" customHeight="1" x14ac:dyDescent="0.15"/>
    <row r="779" s="8" customFormat="1" ht="15.75" customHeight="1" x14ac:dyDescent="0.15"/>
    <row r="780" s="8" customFormat="1" ht="15.75" customHeight="1" x14ac:dyDescent="0.15"/>
    <row r="781" s="8" customFormat="1" ht="15.75" customHeight="1" x14ac:dyDescent="0.15"/>
    <row r="782" s="8" customFormat="1" ht="15.75" customHeight="1" x14ac:dyDescent="0.15"/>
    <row r="783" s="8" customFormat="1" ht="15.75" customHeight="1" x14ac:dyDescent="0.15"/>
    <row r="784" s="8" customFormat="1" ht="15.75" customHeight="1" x14ac:dyDescent="0.15"/>
    <row r="785" s="8" customFormat="1" ht="15.75" customHeight="1" x14ac:dyDescent="0.15"/>
    <row r="786" s="8" customFormat="1" ht="15.75" customHeight="1" x14ac:dyDescent="0.15"/>
    <row r="787" s="8" customFormat="1" ht="15.75" customHeight="1" x14ac:dyDescent="0.15"/>
    <row r="788" s="8" customFormat="1" ht="15.75" customHeight="1" x14ac:dyDescent="0.15"/>
    <row r="789" s="8" customFormat="1" ht="15.75" customHeight="1" x14ac:dyDescent="0.15"/>
    <row r="790" s="8" customFormat="1" ht="15.75" customHeight="1" x14ac:dyDescent="0.15"/>
    <row r="791" s="8" customFormat="1" ht="15.75" customHeight="1" x14ac:dyDescent="0.15"/>
    <row r="792" s="8" customFormat="1" ht="15.75" customHeight="1" x14ac:dyDescent="0.15"/>
    <row r="793" s="8" customFormat="1" ht="15.75" customHeight="1" x14ac:dyDescent="0.15"/>
    <row r="794" s="8" customFormat="1" ht="15.75" customHeight="1" x14ac:dyDescent="0.15"/>
    <row r="795" s="8" customFormat="1" ht="15.75" customHeight="1" x14ac:dyDescent="0.15"/>
    <row r="796" s="8" customFormat="1" ht="15.75" customHeight="1" x14ac:dyDescent="0.15"/>
    <row r="797" s="8" customFormat="1" ht="15.75" customHeight="1" x14ac:dyDescent="0.15"/>
    <row r="798" s="8" customFormat="1" ht="15.75" customHeight="1" x14ac:dyDescent="0.15"/>
    <row r="799" s="8" customFormat="1" ht="15.75" customHeight="1" x14ac:dyDescent="0.15"/>
    <row r="800" s="8" customFormat="1" ht="15.75" customHeight="1" x14ac:dyDescent="0.15"/>
    <row r="801" s="8" customFormat="1" ht="15.75" customHeight="1" x14ac:dyDescent="0.15"/>
    <row r="802" s="8" customFormat="1" ht="15.75" customHeight="1" x14ac:dyDescent="0.15"/>
    <row r="803" s="8" customFormat="1" ht="15.75" customHeight="1" x14ac:dyDescent="0.15"/>
    <row r="804" s="8" customFormat="1" ht="15.75" customHeight="1" x14ac:dyDescent="0.15"/>
    <row r="805" s="8" customFormat="1" ht="15.75" customHeight="1" x14ac:dyDescent="0.15"/>
    <row r="806" s="8" customFormat="1" ht="15.75" customHeight="1" x14ac:dyDescent="0.15"/>
    <row r="807" s="8" customFormat="1" ht="15.75" customHeight="1" x14ac:dyDescent="0.15"/>
    <row r="808" s="8" customFormat="1" ht="15.75" customHeight="1" x14ac:dyDescent="0.15"/>
    <row r="809" s="8" customFormat="1" ht="15.75" customHeight="1" x14ac:dyDescent="0.15"/>
    <row r="810" s="8" customFormat="1" ht="15.75" customHeight="1" x14ac:dyDescent="0.15"/>
    <row r="811" s="8" customFormat="1" ht="15.75" customHeight="1" x14ac:dyDescent="0.15"/>
    <row r="812" s="8" customFormat="1" ht="15.75" customHeight="1" x14ac:dyDescent="0.15"/>
    <row r="813" s="8" customFormat="1" ht="15.75" customHeight="1" x14ac:dyDescent="0.15"/>
    <row r="814" s="8" customFormat="1" ht="15.75" customHeight="1" x14ac:dyDescent="0.15"/>
    <row r="815" s="8" customFormat="1" ht="15.75" customHeight="1" x14ac:dyDescent="0.15"/>
    <row r="816" s="8" customFormat="1" ht="15.75" customHeight="1" x14ac:dyDescent="0.15"/>
    <row r="817" s="8" customFormat="1" ht="15.75" customHeight="1" x14ac:dyDescent="0.15"/>
    <row r="818" s="8" customFormat="1" ht="15.75" customHeight="1" x14ac:dyDescent="0.15"/>
    <row r="819" s="8" customFormat="1" ht="15.75" customHeight="1" x14ac:dyDescent="0.15"/>
    <row r="820" s="8" customFormat="1" ht="15.75" customHeight="1" x14ac:dyDescent="0.15"/>
    <row r="821" s="8" customFormat="1" ht="15.75" customHeight="1" x14ac:dyDescent="0.15"/>
    <row r="822" s="8" customFormat="1" ht="15.75" customHeight="1" x14ac:dyDescent="0.15"/>
    <row r="823" s="8" customFormat="1" ht="15.75" customHeight="1" x14ac:dyDescent="0.15"/>
    <row r="824" s="8" customFormat="1" ht="15.75" customHeight="1" x14ac:dyDescent="0.15"/>
    <row r="825" s="8" customFormat="1" ht="15.75" customHeight="1" x14ac:dyDescent="0.15"/>
    <row r="826" s="8" customFormat="1" ht="15.75" customHeight="1" x14ac:dyDescent="0.15"/>
    <row r="827" s="8" customFormat="1" ht="15.75" customHeight="1" x14ac:dyDescent="0.15"/>
    <row r="828" s="8" customFormat="1" ht="15.75" customHeight="1" x14ac:dyDescent="0.15"/>
    <row r="829" s="8" customFormat="1" ht="15.75" customHeight="1" x14ac:dyDescent="0.15"/>
    <row r="830" s="8" customFormat="1" ht="15.75" customHeight="1" x14ac:dyDescent="0.15"/>
    <row r="831" s="8" customFormat="1" ht="15.75" customHeight="1" x14ac:dyDescent="0.15"/>
    <row r="832" s="8" customFormat="1" ht="15.75" customHeight="1" x14ac:dyDescent="0.15"/>
    <row r="833" s="8" customFormat="1" ht="15.75" customHeight="1" x14ac:dyDescent="0.15"/>
    <row r="834" s="8" customFormat="1" ht="15.75" customHeight="1" x14ac:dyDescent="0.15"/>
    <row r="835" s="8" customFormat="1" ht="15.75" customHeight="1" x14ac:dyDescent="0.15"/>
    <row r="836" s="8" customFormat="1" ht="15.75" customHeight="1" x14ac:dyDescent="0.15"/>
    <row r="837" s="8" customFormat="1" ht="15.75" customHeight="1" x14ac:dyDescent="0.15"/>
    <row r="838" s="8" customFormat="1" ht="15.75" customHeight="1" x14ac:dyDescent="0.15"/>
    <row r="839" s="8" customFormat="1" ht="15.75" customHeight="1" x14ac:dyDescent="0.15"/>
    <row r="840" s="8" customFormat="1" ht="15.75" customHeight="1" x14ac:dyDescent="0.15"/>
    <row r="841" s="8" customFormat="1" ht="15.75" customHeight="1" x14ac:dyDescent="0.15"/>
    <row r="842" s="8" customFormat="1" ht="15.75" customHeight="1" x14ac:dyDescent="0.15"/>
    <row r="843" s="8" customFormat="1" ht="15.75" customHeight="1" x14ac:dyDescent="0.15"/>
    <row r="844" s="8" customFormat="1" ht="15.75" customHeight="1" x14ac:dyDescent="0.15"/>
    <row r="845" s="8" customFormat="1" ht="15.75" customHeight="1" x14ac:dyDescent="0.15"/>
    <row r="846" s="8" customFormat="1" ht="15.75" customHeight="1" x14ac:dyDescent="0.15"/>
    <row r="847" s="8" customFormat="1" ht="15.75" customHeight="1" x14ac:dyDescent="0.15"/>
    <row r="848" s="8" customFormat="1" ht="15.75" customHeight="1" x14ac:dyDescent="0.15"/>
    <row r="849" s="8" customFormat="1" ht="15.75" customHeight="1" x14ac:dyDescent="0.15"/>
    <row r="850" s="8" customFormat="1" ht="15.75" customHeight="1" x14ac:dyDescent="0.15"/>
    <row r="851" s="8" customFormat="1" ht="15.75" customHeight="1" x14ac:dyDescent="0.15"/>
    <row r="852" s="8" customFormat="1" ht="15.75" customHeight="1" x14ac:dyDescent="0.15"/>
    <row r="853" s="8" customFormat="1" ht="15.75" customHeight="1" x14ac:dyDescent="0.15"/>
    <row r="854" s="8" customFormat="1" ht="15.75" customHeight="1" x14ac:dyDescent="0.15"/>
    <row r="855" s="8" customFormat="1" ht="15.75" customHeight="1" x14ac:dyDescent="0.15"/>
    <row r="856" s="8" customFormat="1" ht="15.75" customHeight="1" x14ac:dyDescent="0.15"/>
    <row r="857" s="8" customFormat="1" ht="15.75" customHeight="1" x14ac:dyDescent="0.15"/>
    <row r="858" s="8" customFormat="1" ht="15.75" customHeight="1" x14ac:dyDescent="0.15"/>
    <row r="859" s="8" customFormat="1" ht="15.75" customHeight="1" x14ac:dyDescent="0.15"/>
    <row r="860" s="8" customFormat="1" ht="15.75" customHeight="1" x14ac:dyDescent="0.15"/>
    <row r="861" s="8" customFormat="1" ht="15.75" customHeight="1" x14ac:dyDescent="0.15"/>
    <row r="862" s="8" customFormat="1" ht="15.75" customHeight="1" x14ac:dyDescent="0.15"/>
    <row r="863" s="8" customFormat="1" ht="15.75" customHeight="1" x14ac:dyDescent="0.15"/>
    <row r="864" s="8" customFormat="1" ht="15.75" customHeight="1" x14ac:dyDescent="0.15"/>
    <row r="865" s="8" customFormat="1" ht="15.75" customHeight="1" x14ac:dyDescent="0.15"/>
    <row r="866" s="8" customFormat="1" ht="15.75" customHeight="1" x14ac:dyDescent="0.15"/>
    <row r="867" s="8" customFormat="1" ht="15.75" customHeight="1" x14ac:dyDescent="0.15"/>
    <row r="868" s="8" customFormat="1" ht="15.75" customHeight="1" x14ac:dyDescent="0.15"/>
    <row r="869" s="8" customFormat="1" ht="15.75" customHeight="1" x14ac:dyDescent="0.15"/>
    <row r="870" s="8" customFormat="1" ht="15.75" customHeight="1" x14ac:dyDescent="0.15"/>
    <row r="871" s="8" customFormat="1" ht="15.75" customHeight="1" x14ac:dyDescent="0.15"/>
    <row r="872" s="8" customFormat="1" ht="15.75" customHeight="1" x14ac:dyDescent="0.15"/>
    <row r="873" s="8" customFormat="1" ht="15.75" customHeight="1" x14ac:dyDescent="0.15"/>
    <row r="874" s="8" customFormat="1" ht="15.75" customHeight="1" x14ac:dyDescent="0.15"/>
    <row r="875" s="8" customFormat="1" ht="15.75" customHeight="1" x14ac:dyDescent="0.15"/>
    <row r="876" s="8" customFormat="1" ht="15.75" customHeight="1" x14ac:dyDescent="0.15"/>
    <row r="877" s="8" customFormat="1" ht="15.75" customHeight="1" x14ac:dyDescent="0.15"/>
    <row r="878" s="8" customFormat="1" ht="15.75" customHeight="1" x14ac:dyDescent="0.15"/>
    <row r="879" s="8" customFormat="1" ht="15.75" customHeight="1" x14ac:dyDescent="0.15"/>
    <row r="880" s="8" customFormat="1" ht="15.75" customHeight="1" x14ac:dyDescent="0.15"/>
    <row r="881" s="8" customFormat="1" ht="15.75" customHeight="1" x14ac:dyDescent="0.15"/>
    <row r="882" s="8" customFormat="1" ht="15.75" customHeight="1" x14ac:dyDescent="0.15"/>
    <row r="883" s="8" customFormat="1" ht="15.75" customHeight="1" x14ac:dyDescent="0.15"/>
    <row r="884" s="8" customFormat="1" ht="15.75" customHeight="1" x14ac:dyDescent="0.15"/>
    <row r="885" s="8" customFormat="1" ht="15.75" customHeight="1" x14ac:dyDescent="0.15"/>
    <row r="886" s="8" customFormat="1" ht="15.75" customHeight="1" x14ac:dyDescent="0.15"/>
    <row r="887" s="8" customFormat="1" ht="15.75" customHeight="1" x14ac:dyDescent="0.15"/>
    <row r="888" s="8" customFormat="1" ht="15.75" customHeight="1" x14ac:dyDescent="0.15"/>
    <row r="889" s="8" customFormat="1" ht="15.75" customHeight="1" x14ac:dyDescent="0.15"/>
    <row r="890" s="8" customFormat="1" ht="15.75" customHeight="1" x14ac:dyDescent="0.15"/>
    <row r="891" s="8" customFormat="1" ht="15.75" customHeight="1" x14ac:dyDescent="0.15"/>
    <row r="892" s="8" customFormat="1" ht="15.75" customHeight="1" x14ac:dyDescent="0.15"/>
    <row r="893" s="8" customFormat="1" ht="15.75" customHeight="1" x14ac:dyDescent="0.15"/>
    <row r="894" s="8" customFormat="1" ht="15.75" customHeight="1" x14ac:dyDescent="0.15"/>
    <row r="895" s="8" customFormat="1" ht="15.75" customHeight="1" x14ac:dyDescent="0.15"/>
    <row r="896" s="8" customFormat="1" ht="15.75" customHeight="1" x14ac:dyDescent="0.15"/>
    <row r="897" s="8" customFormat="1" ht="15.75" customHeight="1" x14ac:dyDescent="0.15"/>
    <row r="898" s="8" customFormat="1" ht="15.75" customHeight="1" x14ac:dyDescent="0.15"/>
    <row r="899" s="8" customFormat="1" ht="15.75" customHeight="1" x14ac:dyDescent="0.15"/>
    <row r="900" s="8" customFormat="1" ht="15.75" customHeight="1" x14ac:dyDescent="0.15"/>
    <row r="901" s="8" customFormat="1" ht="15.75" customHeight="1" x14ac:dyDescent="0.15"/>
    <row r="902" s="8" customFormat="1" ht="15.75" customHeight="1" x14ac:dyDescent="0.15"/>
    <row r="903" s="8" customFormat="1" ht="15.75" customHeight="1" x14ac:dyDescent="0.15"/>
    <row r="904" s="8" customFormat="1" ht="15.75" customHeight="1" x14ac:dyDescent="0.15"/>
    <row r="905" s="8" customFormat="1" ht="15.75" customHeight="1" x14ac:dyDescent="0.15"/>
    <row r="906" s="8" customFormat="1" ht="15.75" customHeight="1" x14ac:dyDescent="0.15"/>
    <row r="907" s="8" customFormat="1" ht="15.75" customHeight="1" x14ac:dyDescent="0.15"/>
    <row r="908" s="8" customFormat="1" ht="15.75" customHeight="1" x14ac:dyDescent="0.15"/>
    <row r="909" s="8" customFormat="1" ht="15.75" customHeight="1" x14ac:dyDescent="0.15"/>
    <row r="910" s="8" customFormat="1" ht="15.75" customHeight="1" x14ac:dyDescent="0.15"/>
    <row r="911" s="8" customFormat="1" ht="15.75" customHeight="1" x14ac:dyDescent="0.15"/>
    <row r="912" s="8" customFormat="1" ht="15.75" customHeight="1" x14ac:dyDescent="0.15"/>
    <row r="913" s="8" customFormat="1" ht="15.75" customHeight="1" x14ac:dyDescent="0.15"/>
    <row r="914" s="8" customFormat="1" ht="15.75" customHeight="1" x14ac:dyDescent="0.15"/>
    <row r="915" s="8" customFormat="1" ht="15.75" customHeight="1" x14ac:dyDescent="0.15"/>
    <row r="916" s="8" customFormat="1" ht="15.75" customHeight="1" x14ac:dyDescent="0.15"/>
    <row r="917" s="8" customFormat="1" ht="15.75" customHeight="1" x14ac:dyDescent="0.15"/>
    <row r="918" s="8" customFormat="1" ht="15.75" customHeight="1" x14ac:dyDescent="0.15"/>
    <row r="919" s="8" customFormat="1" ht="15.75" customHeight="1" x14ac:dyDescent="0.15"/>
    <row r="920" s="8" customFormat="1" ht="15.75" customHeight="1" x14ac:dyDescent="0.15"/>
    <row r="921" s="8" customFormat="1" ht="15.75" customHeight="1" x14ac:dyDescent="0.15"/>
    <row r="922" s="8" customFormat="1" ht="15.75" customHeight="1" x14ac:dyDescent="0.15"/>
    <row r="923" s="8" customFormat="1" ht="15.75" customHeight="1" x14ac:dyDescent="0.15"/>
    <row r="924" s="8" customFormat="1" ht="15.75" customHeight="1" x14ac:dyDescent="0.15"/>
    <row r="925" s="8" customFormat="1" ht="15.75" customHeight="1" x14ac:dyDescent="0.15"/>
    <row r="926" s="8" customFormat="1" ht="15.75" customHeight="1" x14ac:dyDescent="0.15"/>
    <row r="927" s="8" customFormat="1" ht="15.75" customHeight="1" x14ac:dyDescent="0.15"/>
    <row r="928" s="8" customFormat="1" ht="15.75" customHeight="1" x14ac:dyDescent="0.15"/>
    <row r="929" s="8" customFormat="1" ht="15.75" customHeight="1" x14ac:dyDescent="0.15"/>
    <row r="930" s="8" customFormat="1" ht="15.75" customHeight="1" x14ac:dyDescent="0.15"/>
    <row r="931" s="8" customFormat="1" ht="15.75" customHeight="1" x14ac:dyDescent="0.15"/>
    <row r="932" s="8" customFormat="1" ht="15.75" customHeight="1" x14ac:dyDescent="0.15"/>
    <row r="933" s="8" customFormat="1" ht="15.75" customHeight="1" x14ac:dyDescent="0.15"/>
    <row r="934" s="8" customFormat="1" ht="15.75" customHeight="1" x14ac:dyDescent="0.15"/>
    <row r="935" s="8" customFormat="1" ht="15.75" customHeight="1" x14ac:dyDescent="0.15"/>
    <row r="936" s="8" customFormat="1" ht="15.75" customHeight="1" x14ac:dyDescent="0.15"/>
    <row r="937" s="8" customFormat="1" ht="15.75" customHeight="1" x14ac:dyDescent="0.15"/>
    <row r="938" s="8" customFormat="1" ht="15.75" customHeight="1" x14ac:dyDescent="0.15"/>
    <row r="939" s="8" customFormat="1" ht="15.75" customHeight="1" x14ac:dyDescent="0.15"/>
    <row r="940" s="8" customFormat="1" ht="15.75" customHeight="1" x14ac:dyDescent="0.15"/>
    <row r="941" s="8" customFormat="1" ht="15.75" customHeight="1" x14ac:dyDescent="0.15"/>
    <row r="942" s="8" customFormat="1" ht="15.75" customHeight="1" x14ac:dyDescent="0.15"/>
    <row r="943" s="8" customFormat="1" ht="15.75" customHeight="1" x14ac:dyDescent="0.15"/>
    <row r="944" s="8" customFormat="1" ht="15.75" customHeight="1" x14ac:dyDescent="0.15"/>
    <row r="945" s="8" customFormat="1" ht="15.75" customHeight="1" x14ac:dyDescent="0.15"/>
    <row r="946" s="8" customFormat="1" ht="15.75" customHeight="1" x14ac:dyDescent="0.15"/>
    <row r="947" s="8" customFormat="1" ht="15.75" customHeight="1" x14ac:dyDescent="0.15"/>
    <row r="948" s="8" customFormat="1" ht="15.75" customHeight="1" x14ac:dyDescent="0.15"/>
    <row r="949" s="8" customFormat="1" ht="15.75" customHeight="1" x14ac:dyDescent="0.15"/>
    <row r="950" s="8" customFormat="1" ht="15.75" customHeight="1" x14ac:dyDescent="0.15"/>
    <row r="951" s="8" customFormat="1" ht="15.75" customHeight="1" x14ac:dyDescent="0.15"/>
    <row r="952" s="8" customFormat="1" ht="15.75" customHeight="1" x14ac:dyDescent="0.15"/>
    <row r="953" s="8" customFormat="1" ht="15.75" customHeight="1" x14ac:dyDescent="0.15"/>
    <row r="954" s="8" customFormat="1" ht="15.75" customHeight="1" x14ac:dyDescent="0.15"/>
    <row r="955" s="8" customFormat="1" ht="15.75" customHeight="1" x14ac:dyDescent="0.15"/>
    <row r="956" s="8" customFormat="1" ht="15.75" customHeight="1" x14ac:dyDescent="0.15"/>
    <row r="957" s="8" customFormat="1" ht="15.75" customHeight="1" x14ac:dyDescent="0.15"/>
    <row r="958" s="8" customFormat="1" ht="15.75" customHeight="1" x14ac:dyDescent="0.15"/>
    <row r="959" s="8" customFormat="1" ht="15.75" customHeight="1" x14ac:dyDescent="0.15"/>
    <row r="960" s="8" customFormat="1" ht="15.75" customHeight="1" x14ac:dyDescent="0.15"/>
    <row r="961" s="8" customFormat="1" ht="15.75" customHeight="1" x14ac:dyDescent="0.15"/>
    <row r="962" s="8" customFormat="1" ht="15.75" customHeight="1" x14ac:dyDescent="0.15"/>
    <row r="963" s="8" customFormat="1" ht="15.75" customHeight="1" x14ac:dyDescent="0.15"/>
    <row r="964" s="8" customFormat="1" ht="15.75" customHeight="1" x14ac:dyDescent="0.15"/>
    <row r="965" s="8" customFormat="1" ht="15.75" customHeight="1" x14ac:dyDescent="0.15"/>
    <row r="966" s="8" customFormat="1" ht="15.75" customHeight="1" x14ac:dyDescent="0.15"/>
    <row r="967" s="8" customFormat="1" ht="15.75" customHeight="1" x14ac:dyDescent="0.15"/>
    <row r="968" s="8" customFormat="1" ht="15.75" customHeight="1" x14ac:dyDescent="0.15"/>
    <row r="969" s="8" customFormat="1" ht="15.75" customHeight="1" x14ac:dyDescent="0.15"/>
    <row r="970" s="8" customFormat="1" ht="15.75" customHeight="1" x14ac:dyDescent="0.15"/>
    <row r="971" s="8" customFormat="1" ht="15.75" customHeight="1" x14ac:dyDescent="0.15"/>
    <row r="972" s="8" customFormat="1" ht="15.75" customHeight="1" x14ac:dyDescent="0.15"/>
    <row r="973" s="8" customFormat="1" ht="15.75" customHeight="1" x14ac:dyDescent="0.15"/>
    <row r="974" s="8" customFormat="1" ht="15.75" customHeight="1" x14ac:dyDescent="0.15"/>
    <row r="975" s="8" customFormat="1" ht="15.75" customHeight="1" x14ac:dyDescent="0.15"/>
    <row r="976" s="8" customFormat="1" ht="15.75" customHeight="1" x14ac:dyDescent="0.15"/>
    <row r="977" s="8" customFormat="1" ht="15.75" customHeight="1" x14ac:dyDescent="0.15"/>
    <row r="978" s="8" customFormat="1" ht="15.75" customHeight="1" x14ac:dyDescent="0.15"/>
    <row r="979" s="8" customFormat="1" ht="15.75" customHeight="1" x14ac:dyDescent="0.15"/>
    <row r="980" s="8" customFormat="1" ht="15.75" customHeight="1" x14ac:dyDescent="0.15"/>
    <row r="981" s="8" customFormat="1" ht="15.75" customHeight="1" x14ac:dyDescent="0.15"/>
    <row r="982" s="8" customFormat="1" ht="15.75" customHeight="1" x14ac:dyDescent="0.15"/>
    <row r="983" s="8" customFormat="1" ht="15.75" customHeight="1" x14ac:dyDescent="0.15"/>
    <row r="984" s="8" customFormat="1" ht="15.75" customHeight="1" x14ac:dyDescent="0.15"/>
    <row r="985" s="8" customFormat="1" ht="15.75" customHeight="1" x14ac:dyDescent="0.15"/>
    <row r="986" s="8" customFormat="1" ht="15.75" customHeight="1" x14ac:dyDescent="0.15"/>
    <row r="987" s="8" customFormat="1" ht="15.75" customHeight="1" x14ac:dyDescent="0.15"/>
    <row r="988" s="8" customFormat="1" ht="15.75" customHeight="1" x14ac:dyDescent="0.15"/>
    <row r="989" s="8" customFormat="1" ht="15.75" customHeight="1" x14ac:dyDescent="0.15"/>
  </sheetData>
  <pageMargins left="0.7" right="0.7" top="0.75" bottom="0.75" header="0" footer="0"/>
  <pageSetup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stopIfTrue="1" id="{682AA4D6-CD81-4E2A-BD99-458516D6AA94}">
            <xm:f>ISNUMBER('Pct Remaining to Goal'!B4)=FALSE</xm:f>
            <x14:dxf>
              <fill>
                <patternFill patternType="none">
                  <bgColor auto="1"/>
                </patternFill>
              </fill>
            </x14:dxf>
          </x14:cfRule>
          <x14:cfRule type="expression" priority="2" id="{FE30A9E8-20F1-4E89-A6EC-3C2A5EB0B864}">
            <xm:f>'Pct Remaining to Goal'!B4&gt;=1</xm:f>
            <x14:dxf>
              <fill>
                <patternFill>
                  <bgColor rgb="FF00B050"/>
                </patternFill>
              </fill>
            </x14:dxf>
          </x14:cfRule>
          <x14:cfRule type="expression" priority="3" id="{9E965A82-1D9C-4F06-9E8B-AD23FCDFB924}">
            <xm:f>AND('Pct Remaining to Goal'!B4&gt;=0.75,'Pct Remaining to Goal'!B4&lt;1)</xm:f>
            <x14:dxf>
              <fill>
                <patternFill>
                  <bgColor rgb="FF92D050"/>
                </patternFill>
              </fill>
            </x14:dxf>
          </x14:cfRule>
          <x14:cfRule type="expression" priority="4" id="{0E75C6E4-AC9D-4BCC-8D21-337BB4A20AE1}">
            <xm:f>AND('Pct Remaining to Goal'!B4&gt;=0.5,'Pct Remaining to Goal'!B4&lt;0.75)</xm:f>
            <x14:dxf>
              <fill>
                <patternFill>
                  <bgColor theme="7" tint="0.59996337778862885"/>
                </patternFill>
              </fill>
            </x14:dxf>
          </x14:cfRule>
          <x14:cfRule type="expression" priority="5" id="{5AD27600-D762-4B70-9E27-C2B4E5D87F33}">
            <xm:f>AND('Pct Remaining to Goal'!B4&gt;=0.25,'Pct Remaining to Goal'!B4&lt;0.5)</xm:f>
            <x14:dxf>
              <fill>
                <patternFill>
                  <bgColor rgb="FFFF9B9B"/>
                </patternFill>
              </fill>
            </x14:dxf>
          </x14:cfRule>
          <x14:cfRule type="expression" priority="6" id="{91D7CEA6-7D3F-46B3-AD70-09C36573361F}">
            <xm:f>'Pct Remaining to Goal'!B4&lt;0.25</xm:f>
            <x14:dxf>
              <fill>
                <patternFill>
                  <bgColor rgb="FFFF0000"/>
                </patternFill>
              </fill>
            </x14:dxf>
          </x14:cfRule>
          <xm:sqref>B4:AG14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14204-F379-EC4B-86D9-90FD4B4CF0FB}">
  <sheetPr>
    <tabColor rgb="FF004077"/>
  </sheetPr>
  <dimension ref="A1:CG82"/>
  <sheetViews>
    <sheetView showGridLines="0" zoomScaleNormal="100" workbookViewId="0">
      <pane xSplit="1" topLeftCell="B1" activePane="topRight" state="frozen"/>
      <selection activeCell="O24" sqref="O24"/>
      <selection pane="topRight" activeCell="A85" sqref="A85"/>
    </sheetView>
  </sheetViews>
  <sheetFormatPr baseColWidth="10" defaultColWidth="10.5" defaultRowHeight="14" x14ac:dyDescent="0.15"/>
  <cols>
    <col min="1" max="1" width="46.83203125" style="74" customWidth="1"/>
    <col min="2" max="3" width="10.5" style="74"/>
    <col min="4" max="4" width="12.1640625" style="74" customWidth="1"/>
    <col min="5" max="6" width="10.5" style="74"/>
    <col min="7" max="7" width="12.83203125" style="74" customWidth="1"/>
    <col min="8" max="12" width="10.5" style="74"/>
    <col min="13" max="13" width="11.83203125" style="74" customWidth="1"/>
    <col min="14" max="15" width="10.5" style="74"/>
    <col min="16" max="16" width="13.33203125" style="74" customWidth="1"/>
    <col min="17" max="18" width="10.5" style="74"/>
    <col min="19" max="19" width="12.1640625" style="74" customWidth="1"/>
    <col min="20" max="20" width="12.33203125" style="74" customWidth="1"/>
    <col min="21" max="21" width="11.6640625" style="74" customWidth="1"/>
    <col min="22" max="22" width="13.83203125" style="74" customWidth="1"/>
    <col min="23" max="23" width="13.33203125" style="74" customWidth="1"/>
    <col min="24" max="24" width="14.83203125" style="74" customWidth="1"/>
    <col min="25" max="25" width="15" style="74" customWidth="1"/>
    <col min="26" max="26" width="15.5" style="74" customWidth="1"/>
    <col min="27" max="27" width="16.83203125" style="74" customWidth="1"/>
    <col min="28" max="28" width="11.1640625" style="74" customWidth="1"/>
    <col min="29" max="36" width="10.5" style="74"/>
    <col min="37" max="37" width="37.1640625" style="74" customWidth="1"/>
    <col min="38" max="38" width="11.1640625" style="74" customWidth="1"/>
    <col min="39" max="39" width="14.33203125" style="74" customWidth="1"/>
    <col min="40" max="40" width="21.33203125" style="74" customWidth="1"/>
    <col min="41" max="41" width="27.6640625" style="74" customWidth="1"/>
    <col min="42" max="42" width="22.6640625" style="74" customWidth="1"/>
    <col min="43" max="43" width="29" style="74" customWidth="1"/>
    <col min="44" max="44" width="20.83203125" style="74" customWidth="1"/>
    <col min="45" max="45" width="37.5" style="74" customWidth="1"/>
    <col min="46" max="46" width="25.83203125" style="74" customWidth="1"/>
    <col min="47" max="47" width="15.6640625" style="74" customWidth="1"/>
    <col min="48" max="48" width="21.83203125" style="74" customWidth="1"/>
    <col min="49" max="49" width="12.33203125" style="74" customWidth="1"/>
    <col min="50" max="50" width="18.33203125" style="74" customWidth="1"/>
    <col min="51" max="16384" width="10.5" style="74"/>
  </cols>
  <sheetData>
    <row r="1" spans="1:85" ht="96" customHeight="1" x14ac:dyDescent="0.15">
      <c r="A1" s="131" t="s">
        <v>91</v>
      </c>
      <c r="B1" s="72"/>
      <c r="C1" s="73"/>
      <c r="D1" s="73"/>
      <c r="E1" s="73"/>
      <c r="F1" s="73"/>
      <c r="G1" s="73"/>
      <c r="H1" s="73"/>
      <c r="I1" s="73"/>
      <c r="J1" s="73"/>
      <c r="K1" s="73"/>
      <c r="L1" s="73"/>
      <c r="M1" s="73"/>
      <c r="N1" s="73"/>
      <c r="O1" s="73"/>
      <c r="P1" s="73"/>
    </row>
    <row r="2" spans="1:85" ht="15" thickBot="1" x14ac:dyDescent="0.2">
      <c r="A2" s="75"/>
      <c r="B2" s="8"/>
    </row>
    <row r="3" spans="1:85" ht="86.25" hidden="1" customHeight="1" thickBot="1" x14ac:dyDescent="0.2">
      <c r="A3" s="76" t="s">
        <v>28</v>
      </c>
      <c r="B3" s="77" t="s">
        <v>13</v>
      </c>
      <c r="C3" s="78" t="s">
        <v>14</v>
      </c>
      <c r="D3" s="79" t="s">
        <v>15</v>
      </c>
      <c r="E3" s="80" t="s">
        <v>19</v>
      </c>
      <c r="F3" s="81" t="s">
        <v>20</v>
      </c>
      <c r="G3" s="82" t="s">
        <v>51</v>
      </c>
      <c r="H3" s="77" t="s">
        <v>52</v>
      </c>
      <c r="I3" s="78" t="s">
        <v>53</v>
      </c>
      <c r="J3" s="79" t="s">
        <v>54</v>
      </c>
      <c r="K3" s="80" t="s">
        <v>55</v>
      </c>
      <c r="L3" s="81" t="s">
        <v>56</v>
      </c>
      <c r="M3" s="82" t="s">
        <v>16</v>
      </c>
      <c r="N3" s="77" t="s">
        <v>21</v>
      </c>
      <c r="O3" s="78" t="s">
        <v>22</v>
      </c>
      <c r="P3" s="79" t="s">
        <v>60</v>
      </c>
      <c r="Q3" s="80" t="s">
        <v>61</v>
      </c>
      <c r="R3" s="81" t="s">
        <v>62</v>
      </c>
      <c r="S3" s="82" t="s">
        <v>57</v>
      </c>
      <c r="T3" s="77" t="s">
        <v>58</v>
      </c>
      <c r="U3" s="78" t="s">
        <v>59</v>
      </c>
      <c r="V3" s="79" t="s">
        <v>66</v>
      </c>
      <c r="W3" s="80" t="s">
        <v>67</v>
      </c>
      <c r="X3" s="81" t="s">
        <v>68</v>
      </c>
      <c r="Y3" s="82" t="s">
        <v>17</v>
      </c>
      <c r="Z3" s="77" t="s">
        <v>23</v>
      </c>
      <c r="AA3" s="78" t="s">
        <v>24</v>
      </c>
      <c r="AB3" s="79" t="s">
        <v>63</v>
      </c>
      <c r="AC3" s="80" t="s">
        <v>64</v>
      </c>
      <c r="AD3" s="81" t="s">
        <v>65</v>
      </c>
      <c r="AE3" s="82" t="s">
        <v>18</v>
      </c>
      <c r="AF3" s="77" t="s">
        <v>25</v>
      </c>
      <c r="AG3" s="78" t="s">
        <v>26</v>
      </c>
    </row>
    <row r="4" spans="1:85" ht="15" hidden="1" x14ac:dyDescent="0.15">
      <c r="A4" s="83" t="str">
        <f>Count_Tbl[[#This Row],[Column1]]</f>
        <v>CTE Participation</v>
      </c>
      <c r="B4" s="84" t="str">
        <f>IFERROR(IF(Count_Tbl[[#This Row],[Male]]/GoalAsCount_Tbl[[#This Row],[Male]]&gt;=1,1,Count_Tbl[[#This Row],[Male]]/GoalAsCount_Tbl[[#This Row],[Male]])," ")</f>
        <v xml:space="preserve"> </v>
      </c>
      <c r="C4" s="85" t="str">
        <f>IFERROR(IF(Count_Tbl[[#This Row],[Female]]/GoalAsCount_Tbl[[#This Row],[Female]]&gt;=1,1,Count_Tbl[[#This Row],[Female]]/GoalAsCount_Tbl[[#This Row],[Female]])," ")</f>
        <v xml:space="preserve"> </v>
      </c>
      <c r="D4" s="85" t="str">
        <f>IFERROR(IF(Count_Tbl[[#This Row],[Asian or Pacific Islander]]/GoalAsCount_Tbl[[#This Row],[Asian or Pacific Islander]]&gt;=1,1,Count_Tbl[[#This Row],[Asian or Pacific Islander]]/GoalAsCount_Tbl[[#This Row],[Asian or Pacific Islander]])," ")</f>
        <v xml:space="preserve"> </v>
      </c>
      <c r="E4" s="85" t="str">
        <f>IFERROR(IF(Count_Tbl[[#This Row],[Asian or Pacific Islander Male]]/GoalAsCount_Tbl[[#This Row],[Asian or Pacific Islander Male]]&gt;=1,1,Count_Tbl[[#This Row],[Asian or Pacific Islander Male]]/GoalAsCount_Tbl[[#This Row],[Asian or Pacific Islander Male]])," ")</f>
        <v xml:space="preserve"> </v>
      </c>
      <c r="F4" s="85" t="str">
        <f>IFERROR(IF(Count_Tbl[[#This Row],[Asian or Pacific Islander Female]]/GoalAsCount_Tbl[[#This Row],[Asian or Pacific Islander Female]]&gt;=1,1,Count_Tbl[[#This Row],[Asian or Pacific Islander Female]]/GoalAsCount_Tbl[[#This Row],[Asian or Pacific Islander Female]])," ")</f>
        <v xml:space="preserve"> </v>
      </c>
      <c r="G4" s="85" t="str">
        <f>IFERROR(IF(Count_Tbl[[#This Row],[Black Non-Latinx]]/GoalAsCount_Tbl[[#This Row],[Black Non-Latinx]]&gt;=1,1,Count_Tbl[[#This Row],[Black Non-Latinx]]/GoalAsCount_Tbl[[#This Row],[Black Non-Latinx]])," ")</f>
        <v xml:space="preserve"> </v>
      </c>
      <c r="H4" s="85" t="str">
        <f>IFERROR(IF(Count_Tbl[[#This Row],[Black Non-Latinx Male]]/GoalAsCount_Tbl[[#This Row],[Black Non-Latinx Male]]&gt;=1,1,Count_Tbl[[#This Row],[Black Non-Latinx Male]]/GoalAsCount_Tbl[[#This Row],[Black Non-Latinx Male]])," ")</f>
        <v xml:space="preserve"> </v>
      </c>
      <c r="I4" s="85" t="str">
        <f>IFERROR(IF(Count_Tbl[[#This Row],[Black Non-Latinx Female]]/GoalAsCount_Tbl[[#This Row],[Black Non-Latinx Female]]&gt;=1,1,Count_Tbl[[#This Row],[Black Non-Latinx Female]]/GoalAsCount_Tbl[[#This Row],[Black Non-Latinx Female]])," ")</f>
        <v xml:space="preserve"> </v>
      </c>
      <c r="J4" s="85" t="str">
        <f>IFERROR(IF(Count_Tbl[[#This Row],[Latinx]]/GoalAsCount_Tbl[[#This Row],[Latinx]]&gt;=1,1,Count_Tbl[[#This Row],[Latinx]]/GoalAsCount_Tbl[[#This Row],[Latinx]])," ")</f>
        <v xml:space="preserve"> </v>
      </c>
      <c r="K4" s="85" t="str">
        <f>IFERROR(IF(Count_Tbl[[#This Row],[Latinx Male]]/GoalAsCount_Tbl[[#This Row],[Latinx Male]]&gt;=1,1,Count_Tbl[[#This Row],[Latinx Male]]/GoalAsCount_Tbl[[#This Row],[Latinx Male]])," ")</f>
        <v xml:space="preserve"> </v>
      </c>
      <c r="L4" s="85" t="str">
        <f>IFERROR(IF(Count_Tbl[[#This Row],[Latinx Female]]/GoalAsCount_Tbl[[#This Row],[Latinx Female]]&gt;=1,1,Count_Tbl[[#This Row],[Latinx Female]]/GoalAsCount_Tbl[[#This Row],[Latinx Female]])," ")</f>
        <v xml:space="preserve"> </v>
      </c>
      <c r="M4" s="85" t="str">
        <f>IFERROR(IF(Count_Tbl[[#This Row],[Multiracial]]/GoalAsCount_Tbl[[#This Row],[Multiracial]]&gt;=1,1,Count_Tbl[[#This Row],[Multiracial]]/GoalAsCount_Tbl[[#This Row],[Multiracial]])," ")</f>
        <v xml:space="preserve"> </v>
      </c>
      <c r="N4" s="85" t="str">
        <f>IFERROR(IF(Count_Tbl[[#This Row],[Multiracial Male]]/GoalAsCount_Tbl[[#This Row],[Multiracial Male]]&gt;=1,1,Count_Tbl[[#This Row],[Multiracial Male]]/GoalAsCount_Tbl[[#This Row],[Multiracial Male]])," ")</f>
        <v xml:space="preserve"> </v>
      </c>
      <c r="O4" s="84" t="str">
        <f>IFERROR(IF(Count_Tbl[[#This Row],[Multiracial Female]]/GoalAsCount_Tbl[[#This Row],[Multiracial Female]]&gt;=1,1,Count_Tbl[[#This Row],[Multiracial Female]]/GoalAsCount_Tbl[[#This Row],[Multiracial Female]])," ")</f>
        <v xml:space="preserve"> </v>
      </c>
      <c r="P4" s="85" t="str">
        <f>IFERROR(IF(Count_Tbl[[#This Row],[Native American or Alaska Native]]/GoalAsCount_Tbl[[#This Row],[Native American or Alaska Native]]&gt;=1,1,Count_Tbl[[#This Row],[Native American or Alaska Native]]/GoalAsCount_Tbl[[#This Row],[Native American or Alaska Native]])," ")</f>
        <v xml:space="preserve"> </v>
      </c>
      <c r="Q4" s="85" t="str">
        <f>IFERROR(IF(Count_Tbl[[#This Row],[Native American or Alaska Native Male]]/GoalAsCount_Tbl[[#This Row],[Native American or Alaska Native Male]]&gt;=1,1,Count_Tbl[[#This Row],[Native American or Alaska Native Male]]/GoalAsCount_Tbl[[#This Row],[Native American or Alaska Native Male]])," ")</f>
        <v xml:space="preserve"> </v>
      </c>
      <c r="R4" s="85" t="str">
        <f>IFERROR(IF(Count_Tbl[[#This Row],[Native American or Alaska Native Female]]/GoalAsCount_Tbl[[#This Row],[Native American or Alaska Native Female]]&gt;=1,1,Count_Tbl[[#This Row],[Native American or Alaska Native Female]]/GoalAsCount_Tbl[[#This Row],[Native American or Alaska Native Female]])," ")</f>
        <v xml:space="preserve"> </v>
      </c>
      <c r="S4" s="85" t="str">
        <f>IFERROR(IF(Count_Tbl[[#This Row],[White Non-Latinx]]/GoalAsCount_Tbl[[#This Row],[White Non-Latinx]]&gt;=1,1,Count_Tbl[[#This Row],[White Non-Latinx]]/GoalAsCount_Tbl[[#This Row],[White Non-Latinx]])," ")</f>
        <v xml:space="preserve"> </v>
      </c>
      <c r="T4" s="85" t="str">
        <f>IFERROR(IF(Count_Tbl[[#This Row],[White Non-Latinx Male]]/GoalAsCount_Tbl[[#This Row],[White Non-Latinx Male]]&gt;=1,1,Count_Tbl[[#This Row],[White Non-Latinx Male]]/GoalAsCount_Tbl[[#This Row],[White Non-Latinx Male]])," ")</f>
        <v xml:space="preserve"> </v>
      </c>
      <c r="U4" s="85" t="str">
        <f>IFERROR(IF(Count_Tbl[[#This Row],[White Non-Latinx Female]]/GoalAsCount_Tbl[[#This Row],[White Non-Latinx Female]]&gt;=1,1,Count_Tbl[[#This Row],[White Non-Latinx Female]]/GoalAsCount_Tbl[[#This Row],[White Non-Latinx Female]])," ")</f>
        <v xml:space="preserve"> </v>
      </c>
      <c r="V4" s="85" t="str">
        <f>IFERROR(IF(Count_Tbl[[#This Row],[Learners with Disabilities]]/GoalAsCount_Tbl[[#This Row],[Learners with Disabilities]]&gt;=1,1,Count_Tbl[[#This Row],[Learners with Disabilities]]/GoalAsCount_Tbl[[#This Row],[Learners with Disabilities]])," ")</f>
        <v xml:space="preserve"> </v>
      </c>
      <c r="W4" s="85" t="str">
        <f>IFERROR(IF(Count_Tbl[[#This Row],[Learners with Disabilities Male]]/GoalAsCount_Tbl[[#This Row],[Learners with Disabilities Male]]&gt;=1,1,Count_Tbl[[#This Row],[Learners with Disabilities Male]]/GoalAsCount_Tbl[[#This Row],[Learners with Disabilities Male]])," ")</f>
        <v xml:space="preserve"> </v>
      </c>
      <c r="X4" s="85" t="str">
        <f>IFERROR(IF(Count_Tbl[[#This Row],[Learners with Disabilities Female]]/GoalAsCount_Tbl[[#This Row],[Learners with Disabilities Female]]&gt;=1,1,Count_Tbl[[#This Row],[Learners with Disabilities Female]]/GoalAsCount_Tbl[[#This Row],[Learners with Disabilities Female]])," ")</f>
        <v xml:space="preserve"> </v>
      </c>
      <c r="Y4" s="85" t="str">
        <f>IFERROR(IF(Count_Tbl[[#This Row],[Economically Disadvantaged]]/GoalAsCount_Tbl[[#This Row],[Economically Disadvantaged]]&gt;=1,1,Count_Tbl[[#This Row],[Economically Disadvantaged]]/GoalAsCount_Tbl[[#This Row],[Economically Disadvantaged]])," ")</f>
        <v xml:space="preserve"> </v>
      </c>
      <c r="Z4" s="85" t="str">
        <f>IFERROR(IF(Count_Tbl[[#This Row],[Economically Disadvantaged Male]]/GoalAsCount_Tbl[[#This Row],[Economically Disadvantaged Male]]&gt;=1,1,Count_Tbl[[#This Row],[Economically Disadvantaged Male]]/GoalAsCount_Tbl[[#This Row],[Economically Disadvantaged Male]])," ")</f>
        <v xml:space="preserve"> </v>
      </c>
      <c r="AA4" s="85" t="str">
        <f>IFERROR(IF(Count_Tbl[[#This Row],[Economically Disadvantaged Female]]/GoalAsCount_Tbl[[#This Row],[Economically Disadvantaged Female]]&gt;=1,1,Count_Tbl[[#This Row],[Economically Disadvantaged Female]]/GoalAsCount_Tbl[[#This Row],[Economically Disadvantaged Female]])," ")</f>
        <v xml:space="preserve"> </v>
      </c>
      <c r="AB4" s="85" t="str">
        <f>IFERROR(IF(Count_Tbl[[#This Row],[English Learner]]/GoalAsCount_Tbl[[#This Row],[English Learner]]&gt;=1,1,Count_Tbl[[#This Row],[English Learner]]/GoalAsCount_Tbl[[#This Row],[English Learner]])," ")</f>
        <v xml:space="preserve"> </v>
      </c>
      <c r="AC4" s="85" t="str">
        <f>IFERROR(IF(Count_Tbl[[#This Row],[English Learner Male]]/GoalAsCount_Tbl[[#This Row],[English Learner Male]]&gt;=1,1,Count_Tbl[[#This Row],[English Learner Male]]/GoalAsCount_Tbl[[#This Row],[English Learner Male]])," ")</f>
        <v xml:space="preserve"> </v>
      </c>
      <c r="AD4" s="85" t="str">
        <f>IFERROR(IF(Count_Tbl[[#This Row],[English Learner Female]]/GoalAsCount_Tbl[[#This Row],[English Learner Female]]&gt;=1,1,Count_Tbl[[#This Row],[English Learner Female]]/GoalAsCount_Tbl[[#This Row],[English Learner Female]])," ")</f>
        <v xml:space="preserve"> </v>
      </c>
      <c r="AE4" s="85" t="str">
        <f>IFERROR(IF(Count_Tbl[[#This Row],[Migrant]]/GoalAsCount_Tbl[[#This Row],[Migrant]]&gt;=1,1,Count_Tbl[[#This Row],[Migrant]]/GoalAsCount_Tbl[[#This Row],[Migrant]])," ")</f>
        <v xml:space="preserve"> </v>
      </c>
      <c r="AF4" s="85" t="str">
        <f>IFERROR(IF(Count_Tbl[[#This Row],[Migrant Male]]/GoalAsCount_Tbl[[#This Row],[Migrant Male]]&gt;=1,1,Count_Tbl[[#This Row],[Migrant Male]]/GoalAsCount_Tbl[[#This Row],[Migrant Male]])," ")</f>
        <v xml:space="preserve"> </v>
      </c>
      <c r="AG4" s="85" t="str">
        <f>IFERROR(IF(Count_Tbl[[#This Row],[Migrant Female]]/GoalAsCount_Tbl[[#This Row],[Migrant Female]]&gt;=1,1,Count_Tbl[[#This Row],[Migrant Female]]/GoalAsCount_Tbl[[#This Row],[Migrant Female]])," ")</f>
        <v xml:space="preserve"> </v>
      </c>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row>
    <row r="5" spans="1:85" ht="15" hidden="1" x14ac:dyDescent="0.15">
      <c r="A5" s="83" t="str">
        <f>Count_Tbl[[#This Row],[Column1]]</f>
        <v>HWHD CTE Participation</v>
      </c>
      <c r="B5" s="84" t="str">
        <f>IFERROR(IF(Count_Tbl[[#This Row],[Male]]/GoalAsCount_Tbl[[#This Row],[Male]]&gt;=1,1,Count_Tbl[[#This Row],[Male]]/GoalAsCount_Tbl[[#This Row],[Male]])," ")</f>
        <v xml:space="preserve"> </v>
      </c>
      <c r="C5" s="85" t="str">
        <f>IFERROR(IF(Count_Tbl[[#This Row],[Female]]/GoalAsCount_Tbl[[#This Row],[Female]]&gt;=1,1,Count_Tbl[[#This Row],[Female]]/GoalAsCount_Tbl[[#This Row],[Female]])," ")</f>
        <v xml:space="preserve"> </v>
      </c>
      <c r="D5" s="85" t="str">
        <f>IFERROR(IF(Count_Tbl[[#This Row],[Asian or Pacific Islander]]/GoalAsCount_Tbl[[#This Row],[Asian or Pacific Islander]]&gt;=1,1,Count_Tbl[[#This Row],[Asian or Pacific Islander]]/GoalAsCount_Tbl[[#This Row],[Asian or Pacific Islander]])," ")</f>
        <v xml:space="preserve"> </v>
      </c>
      <c r="E5" s="85" t="str">
        <f>IFERROR(IF(Count_Tbl[[#This Row],[Asian or Pacific Islander Male]]/GoalAsCount_Tbl[[#This Row],[Asian or Pacific Islander Male]]&gt;=1,1,Count_Tbl[[#This Row],[Asian or Pacific Islander Male]]/GoalAsCount_Tbl[[#This Row],[Asian or Pacific Islander Male]])," ")</f>
        <v xml:space="preserve"> </v>
      </c>
      <c r="F5" s="85" t="str">
        <f>IFERROR(IF(Count_Tbl[[#This Row],[Asian or Pacific Islander Female]]/GoalAsCount_Tbl[[#This Row],[Asian or Pacific Islander Female]]&gt;=1,1,Count_Tbl[[#This Row],[Asian or Pacific Islander Female]]/GoalAsCount_Tbl[[#This Row],[Asian or Pacific Islander Female]])," ")</f>
        <v xml:space="preserve"> </v>
      </c>
      <c r="G5" s="85" t="str">
        <f>IFERROR(IF(Count_Tbl[[#This Row],[Black Non-Latinx]]/GoalAsCount_Tbl[[#This Row],[Black Non-Latinx]]&gt;=1,1,Count_Tbl[[#This Row],[Black Non-Latinx]]/GoalAsCount_Tbl[[#This Row],[Black Non-Latinx]])," ")</f>
        <v xml:space="preserve"> </v>
      </c>
      <c r="H5" s="85" t="str">
        <f>IFERROR(IF(Count_Tbl[[#This Row],[Black Non-Latinx Male]]/GoalAsCount_Tbl[[#This Row],[Black Non-Latinx Male]]&gt;=1,1,Count_Tbl[[#This Row],[Black Non-Latinx Male]]/GoalAsCount_Tbl[[#This Row],[Black Non-Latinx Male]])," ")</f>
        <v xml:space="preserve"> </v>
      </c>
      <c r="I5" s="85" t="str">
        <f>IFERROR(IF(Count_Tbl[[#This Row],[Black Non-Latinx Female]]/GoalAsCount_Tbl[[#This Row],[Black Non-Latinx Female]]&gt;=1,1,Count_Tbl[[#This Row],[Black Non-Latinx Female]]/GoalAsCount_Tbl[[#This Row],[Black Non-Latinx Female]])," ")</f>
        <v xml:space="preserve"> </v>
      </c>
      <c r="J5" s="85" t="str">
        <f>IFERROR(IF(Count_Tbl[[#This Row],[Latinx]]/GoalAsCount_Tbl[[#This Row],[Latinx]]&gt;=1,1,Count_Tbl[[#This Row],[Latinx]]/GoalAsCount_Tbl[[#This Row],[Latinx]])," ")</f>
        <v xml:space="preserve"> </v>
      </c>
      <c r="K5" s="85" t="str">
        <f>IFERROR(IF(Count_Tbl[[#This Row],[Latinx Male]]/GoalAsCount_Tbl[[#This Row],[Latinx Male]]&gt;=1,1,Count_Tbl[[#This Row],[Latinx Male]]/GoalAsCount_Tbl[[#This Row],[Latinx Male]])," ")</f>
        <v xml:space="preserve"> </v>
      </c>
      <c r="L5" s="85" t="str">
        <f>IFERROR(IF(Count_Tbl[[#This Row],[Latinx Female]]/GoalAsCount_Tbl[[#This Row],[Latinx Female]]&gt;=1,1,Count_Tbl[[#This Row],[Latinx Female]]/GoalAsCount_Tbl[[#This Row],[Latinx Female]])," ")</f>
        <v xml:space="preserve"> </v>
      </c>
      <c r="M5" s="85" t="str">
        <f>IFERROR(IF(Count_Tbl[[#This Row],[Multiracial]]/GoalAsCount_Tbl[[#This Row],[Multiracial]]&gt;=1,1,Count_Tbl[[#This Row],[Multiracial]]/GoalAsCount_Tbl[[#This Row],[Multiracial]])," ")</f>
        <v xml:space="preserve"> </v>
      </c>
      <c r="N5" s="85" t="str">
        <f>IFERROR(IF(Count_Tbl[[#This Row],[Multiracial Male]]/GoalAsCount_Tbl[[#This Row],[Multiracial Male]]&gt;=1,1,Count_Tbl[[#This Row],[Multiracial Male]]/GoalAsCount_Tbl[[#This Row],[Multiracial Male]])," ")</f>
        <v xml:space="preserve"> </v>
      </c>
      <c r="O5" s="84" t="str">
        <f>IFERROR(IF(Count_Tbl[[#This Row],[Multiracial Female]]/GoalAsCount_Tbl[[#This Row],[Multiracial Female]]&gt;=1,1,Count_Tbl[[#This Row],[Multiracial Female]]/GoalAsCount_Tbl[[#This Row],[Multiracial Female]])," ")</f>
        <v xml:space="preserve"> </v>
      </c>
      <c r="P5" s="85" t="str">
        <f>IFERROR(IF(Count_Tbl[[#This Row],[Native American or Alaska Native]]/GoalAsCount_Tbl[[#This Row],[Native American or Alaska Native]]&gt;=1,1,Count_Tbl[[#This Row],[Native American or Alaska Native]]/GoalAsCount_Tbl[[#This Row],[Native American or Alaska Native]])," ")</f>
        <v xml:space="preserve"> </v>
      </c>
      <c r="Q5" s="85" t="str">
        <f>IFERROR(IF(Count_Tbl[[#This Row],[Native American or Alaska Native Male]]/GoalAsCount_Tbl[[#This Row],[Native American or Alaska Native Male]]&gt;=1,1,Count_Tbl[[#This Row],[Native American or Alaska Native Male]]/GoalAsCount_Tbl[[#This Row],[Native American or Alaska Native Male]])," ")</f>
        <v xml:space="preserve"> </v>
      </c>
      <c r="R5" s="85" t="str">
        <f>IFERROR(IF(Count_Tbl[[#This Row],[Native American or Alaska Native Female]]/GoalAsCount_Tbl[[#This Row],[Native American or Alaska Native Female]]&gt;=1,1,Count_Tbl[[#This Row],[Native American or Alaska Native Female]]/GoalAsCount_Tbl[[#This Row],[Native American or Alaska Native Female]])," ")</f>
        <v xml:space="preserve"> </v>
      </c>
      <c r="S5" s="85" t="str">
        <f>IFERROR(IF(Count_Tbl[[#This Row],[White Non-Latinx]]/GoalAsCount_Tbl[[#This Row],[White Non-Latinx]]&gt;=1,1,Count_Tbl[[#This Row],[White Non-Latinx]]/GoalAsCount_Tbl[[#This Row],[White Non-Latinx]])," ")</f>
        <v xml:space="preserve"> </v>
      </c>
      <c r="T5" s="85" t="str">
        <f>IFERROR(IF(Count_Tbl[[#This Row],[White Non-Latinx Male]]/GoalAsCount_Tbl[[#This Row],[White Non-Latinx Male]]&gt;=1,1,Count_Tbl[[#This Row],[White Non-Latinx Male]]/GoalAsCount_Tbl[[#This Row],[White Non-Latinx Male]])," ")</f>
        <v xml:space="preserve"> </v>
      </c>
      <c r="U5" s="85" t="str">
        <f>IFERROR(IF(Count_Tbl[[#This Row],[White Non-Latinx Female]]/GoalAsCount_Tbl[[#This Row],[White Non-Latinx Female]]&gt;=1,1,Count_Tbl[[#This Row],[White Non-Latinx Female]]/GoalAsCount_Tbl[[#This Row],[White Non-Latinx Female]])," ")</f>
        <v xml:space="preserve"> </v>
      </c>
      <c r="V5" s="85" t="str">
        <f>IFERROR(IF(Count_Tbl[[#This Row],[Learners with Disabilities]]/GoalAsCount_Tbl[[#This Row],[Learners with Disabilities]]&gt;=1,1,Count_Tbl[[#This Row],[Learners with Disabilities]]/GoalAsCount_Tbl[[#This Row],[Learners with Disabilities]])," ")</f>
        <v xml:space="preserve"> </v>
      </c>
      <c r="W5" s="85" t="str">
        <f>IFERROR(IF(Count_Tbl[[#This Row],[Learners with Disabilities Male]]/GoalAsCount_Tbl[[#This Row],[Learners with Disabilities Male]]&gt;=1,1,Count_Tbl[[#This Row],[Learners with Disabilities Male]]/GoalAsCount_Tbl[[#This Row],[Learners with Disabilities Male]])," ")</f>
        <v xml:space="preserve"> </v>
      </c>
      <c r="X5" s="85" t="str">
        <f>IFERROR(IF(Count_Tbl[[#This Row],[Learners with Disabilities Female]]/GoalAsCount_Tbl[[#This Row],[Learners with Disabilities Female]]&gt;=1,1,Count_Tbl[[#This Row],[Learners with Disabilities Female]]/GoalAsCount_Tbl[[#This Row],[Learners with Disabilities Female]])," ")</f>
        <v xml:space="preserve"> </v>
      </c>
      <c r="Y5" s="85" t="str">
        <f>IFERROR(IF(Count_Tbl[[#This Row],[Economically Disadvantaged]]/GoalAsCount_Tbl[[#This Row],[Economically Disadvantaged]]&gt;=1,1,Count_Tbl[[#This Row],[Economically Disadvantaged]]/GoalAsCount_Tbl[[#This Row],[Economically Disadvantaged]])," ")</f>
        <v xml:space="preserve"> </v>
      </c>
      <c r="Z5" s="85" t="str">
        <f>IFERROR(IF(Count_Tbl[[#This Row],[Economically Disadvantaged Male]]/GoalAsCount_Tbl[[#This Row],[Economically Disadvantaged Male]]&gt;=1,1,Count_Tbl[[#This Row],[Economically Disadvantaged Male]]/GoalAsCount_Tbl[[#This Row],[Economically Disadvantaged Male]])," ")</f>
        <v xml:space="preserve"> </v>
      </c>
      <c r="AA5" s="85" t="str">
        <f>IFERROR(IF(Count_Tbl[[#This Row],[Economically Disadvantaged Female]]/GoalAsCount_Tbl[[#This Row],[Economically Disadvantaged Female]]&gt;=1,1,Count_Tbl[[#This Row],[Economically Disadvantaged Female]]/GoalAsCount_Tbl[[#This Row],[Economically Disadvantaged Female]])," ")</f>
        <v xml:space="preserve"> </v>
      </c>
      <c r="AB5" s="85" t="str">
        <f>IFERROR(IF(Count_Tbl[[#This Row],[English Learner]]/GoalAsCount_Tbl[[#This Row],[English Learner]]&gt;=1,1,Count_Tbl[[#This Row],[English Learner]]/GoalAsCount_Tbl[[#This Row],[English Learner]])," ")</f>
        <v xml:space="preserve"> </v>
      </c>
      <c r="AC5" s="85" t="str">
        <f>IFERROR(IF(Count_Tbl[[#This Row],[English Learner Male]]/GoalAsCount_Tbl[[#This Row],[English Learner Male]]&gt;=1,1,Count_Tbl[[#This Row],[English Learner Male]]/GoalAsCount_Tbl[[#This Row],[English Learner Male]])," ")</f>
        <v xml:space="preserve"> </v>
      </c>
      <c r="AD5" s="85" t="str">
        <f>IFERROR(IF(Count_Tbl[[#This Row],[English Learner Female]]/GoalAsCount_Tbl[[#This Row],[English Learner Female]]&gt;=1,1,Count_Tbl[[#This Row],[English Learner Female]]/GoalAsCount_Tbl[[#This Row],[English Learner Female]])," ")</f>
        <v xml:space="preserve"> </v>
      </c>
      <c r="AE5" s="85" t="str">
        <f>IFERROR(IF(Count_Tbl[[#This Row],[Migrant]]/GoalAsCount_Tbl[[#This Row],[Migrant]]&gt;=1,1,Count_Tbl[[#This Row],[Migrant]]/GoalAsCount_Tbl[[#This Row],[Migrant]])," ")</f>
        <v xml:space="preserve"> </v>
      </c>
      <c r="AF5" s="85" t="str">
        <f>IFERROR(IF(Count_Tbl[[#This Row],[Migrant Male]]/GoalAsCount_Tbl[[#This Row],[Migrant Male]]&gt;=1,1,Count_Tbl[[#This Row],[Migrant Male]]/GoalAsCount_Tbl[[#This Row],[Migrant Male]])," ")</f>
        <v xml:space="preserve"> </v>
      </c>
      <c r="AG5" s="85" t="str">
        <f>IFERROR(IF(Count_Tbl[[#This Row],[Migrant Female]]/GoalAsCount_Tbl[[#This Row],[Migrant Female]]&gt;=1,1,Count_Tbl[[#This Row],[Migrant Female]]/GoalAsCount_Tbl[[#This Row],[Migrant Female]])," ")</f>
        <v xml:space="preserve"> </v>
      </c>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row>
    <row r="6" spans="1:85" ht="15" hidden="1" x14ac:dyDescent="0.15">
      <c r="A6" s="87" t="str">
        <f>Count_Tbl[[#This Row],[Column1]]</f>
        <v>CTE Concentration</v>
      </c>
      <c r="B6" s="84" t="str">
        <f>IFERROR(IF(Count_Tbl[[#This Row],[Male]]/GoalAsCount_Tbl[[#This Row],[Male]]&gt;=1,1,Count_Tbl[[#This Row],[Male]]/GoalAsCount_Tbl[[#This Row],[Male]])," ")</f>
        <v xml:space="preserve"> </v>
      </c>
      <c r="C6" s="85" t="str">
        <f>IFERROR(IF(Count_Tbl[[#This Row],[Female]]/GoalAsCount_Tbl[[#This Row],[Female]]&gt;=1,1,Count_Tbl[[#This Row],[Female]]/GoalAsCount_Tbl[[#This Row],[Female]])," ")</f>
        <v xml:space="preserve"> </v>
      </c>
      <c r="D6" s="85" t="str">
        <f>IFERROR(IF(Count_Tbl[[#This Row],[Asian or Pacific Islander]]/GoalAsCount_Tbl[[#This Row],[Asian or Pacific Islander]]&gt;=1,1,Count_Tbl[[#This Row],[Asian or Pacific Islander]]/GoalAsCount_Tbl[[#This Row],[Asian or Pacific Islander]])," ")</f>
        <v xml:space="preserve"> </v>
      </c>
      <c r="E6" s="85" t="str">
        <f>IFERROR(IF(Count_Tbl[[#This Row],[Asian or Pacific Islander Male]]/GoalAsCount_Tbl[[#This Row],[Asian or Pacific Islander Male]]&gt;=1,1,Count_Tbl[[#This Row],[Asian or Pacific Islander Male]]/GoalAsCount_Tbl[[#This Row],[Asian or Pacific Islander Male]])," ")</f>
        <v xml:space="preserve"> </v>
      </c>
      <c r="F6" s="85" t="str">
        <f>IFERROR(IF(Count_Tbl[[#This Row],[Asian or Pacific Islander Female]]/GoalAsCount_Tbl[[#This Row],[Asian or Pacific Islander Female]]&gt;=1,1,Count_Tbl[[#This Row],[Asian or Pacific Islander Female]]/GoalAsCount_Tbl[[#This Row],[Asian or Pacific Islander Female]])," ")</f>
        <v xml:space="preserve"> </v>
      </c>
      <c r="G6" s="85" t="str">
        <f>IFERROR(IF(Count_Tbl[[#This Row],[Black Non-Latinx]]/GoalAsCount_Tbl[[#This Row],[Black Non-Latinx]]&gt;=1,1,Count_Tbl[[#This Row],[Black Non-Latinx]]/GoalAsCount_Tbl[[#This Row],[Black Non-Latinx]])," ")</f>
        <v xml:space="preserve"> </v>
      </c>
      <c r="H6" s="85" t="str">
        <f>IFERROR(IF(Count_Tbl[[#This Row],[Black Non-Latinx Male]]/GoalAsCount_Tbl[[#This Row],[Black Non-Latinx Male]]&gt;=1,1,Count_Tbl[[#This Row],[Black Non-Latinx Male]]/GoalAsCount_Tbl[[#This Row],[Black Non-Latinx Male]])," ")</f>
        <v xml:space="preserve"> </v>
      </c>
      <c r="I6" s="85" t="str">
        <f>IFERROR(IF(Count_Tbl[[#This Row],[Black Non-Latinx Female]]/GoalAsCount_Tbl[[#This Row],[Black Non-Latinx Female]]&gt;=1,1,Count_Tbl[[#This Row],[Black Non-Latinx Female]]/GoalAsCount_Tbl[[#This Row],[Black Non-Latinx Female]])," ")</f>
        <v xml:space="preserve"> </v>
      </c>
      <c r="J6" s="85" t="str">
        <f>IFERROR(IF(Count_Tbl[[#This Row],[Latinx]]/GoalAsCount_Tbl[[#This Row],[Latinx]]&gt;=1,1,Count_Tbl[[#This Row],[Latinx]]/GoalAsCount_Tbl[[#This Row],[Latinx]])," ")</f>
        <v xml:space="preserve"> </v>
      </c>
      <c r="K6" s="85" t="str">
        <f>IFERROR(IF(Count_Tbl[[#This Row],[Latinx Male]]/GoalAsCount_Tbl[[#This Row],[Latinx Male]]&gt;=1,1,Count_Tbl[[#This Row],[Latinx Male]]/GoalAsCount_Tbl[[#This Row],[Latinx Male]])," ")</f>
        <v xml:space="preserve"> </v>
      </c>
      <c r="L6" s="85" t="str">
        <f>IFERROR(IF(Count_Tbl[[#This Row],[Latinx Female]]/GoalAsCount_Tbl[[#This Row],[Latinx Female]]&gt;=1,1,Count_Tbl[[#This Row],[Latinx Female]]/GoalAsCount_Tbl[[#This Row],[Latinx Female]])," ")</f>
        <v xml:space="preserve"> </v>
      </c>
      <c r="M6" s="85" t="str">
        <f>IFERROR(IF(Count_Tbl[[#This Row],[Multiracial]]/GoalAsCount_Tbl[[#This Row],[Multiracial]]&gt;=1,1,Count_Tbl[[#This Row],[Multiracial]]/GoalAsCount_Tbl[[#This Row],[Multiracial]])," ")</f>
        <v xml:space="preserve"> </v>
      </c>
      <c r="N6" s="85" t="str">
        <f>IFERROR(IF(Count_Tbl[[#This Row],[Multiracial Male]]/GoalAsCount_Tbl[[#This Row],[Multiracial Male]]&gt;=1,1,Count_Tbl[[#This Row],[Multiracial Male]]/GoalAsCount_Tbl[[#This Row],[Multiracial Male]])," ")</f>
        <v xml:space="preserve"> </v>
      </c>
      <c r="O6" s="84" t="str">
        <f>IFERROR(IF(Count_Tbl[[#This Row],[Multiracial Female]]/GoalAsCount_Tbl[[#This Row],[Multiracial Female]]&gt;=1,1,Count_Tbl[[#This Row],[Multiracial Female]]/GoalAsCount_Tbl[[#This Row],[Multiracial Female]])," ")</f>
        <v xml:space="preserve"> </v>
      </c>
      <c r="P6" s="85" t="str">
        <f>IFERROR(IF(Count_Tbl[[#This Row],[Native American or Alaska Native]]/GoalAsCount_Tbl[[#This Row],[Native American or Alaska Native]]&gt;=1,1,Count_Tbl[[#This Row],[Native American or Alaska Native]]/GoalAsCount_Tbl[[#This Row],[Native American or Alaska Native]])," ")</f>
        <v xml:space="preserve"> </v>
      </c>
      <c r="Q6" s="85" t="str">
        <f>IFERROR(IF(Count_Tbl[[#This Row],[Native American or Alaska Native Male]]/GoalAsCount_Tbl[[#This Row],[Native American or Alaska Native Male]]&gt;=1,1,Count_Tbl[[#This Row],[Native American or Alaska Native Male]]/GoalAsCount_Tbl[[#This Row],[Native American or Alaska Native Male]])," ")</f>
        <v xml:space="preserve"> </v>
      </c>
      <c r="R6" s="85" t="str">
        <f>IFERROR(IF(Count_Tbl[[#This Row],[Native American or Alaska Native Female]]/GoalAsCount_Tbl[[#This Row],[Native American or Alaska Native Female]]&gt;=1,1,Count_Tbl[[#This Row],[Native American or Alaska Native Female]]/GoalAsCount_Tbl[[#This Row],[Native American or Alaska Native Female]])," ")</f>
        <v xml:space="preserve"> </v>
      </c>
      <c r="S6" s="85" t="str">
        <f>IFERROR(IF(Count_Tbl[[#This Row],[White Non-Latinx]]/GoalAsCount_Tbl[[#This Row],[White Non-Latinx]]&gt;=1,1,Count_Tbl[[#This Row],[White Non-Latinx]]/GoalAsCount_Tbl[[#This Row],[White Non-Latinx]])," ")</f>
        <v xml:space="preserve"> </v>
      </c>
      <c r="T6" s="85" t="str">
        <f>IFERROR(IF(Count_Tbl[[#This Row],[White Non-Latinx Male]]/GoalAsCount_Tbl[[#This Row],[White Non-Latinx Male]]&gt;=1,1,Count_Tbl[[#This Row],[White Non-Latinx Male]]/GoalAsCount_Tbl[[#This Row],[White Non-Latinx Male]])," ")</f>
        <v xml:space="preserve"> </v>
      </c>
      <c r="U6" s="85" t="str">
        <f>IFERROR(IF(Count_Tbl[[#This Row],[White Non-Latinx Female]]/GoalAsCount_Tbl[[#This Row],[White Non-Latinx Female]]&gt;=1,1,Count_Tbl[[#This Row],[White Non-Latinx Female]]/GoalAsCount_Tbl[[#This Row],[White Non-Latinx Female]])," ")</f>
        <v xml:space="preserve"> </v>
      </c>
      <c r="V6" s="85" t="str">
        <f>IFERROR(IF(Count_Tbl[[#This Row],[Learners with Disabilities]]/GoalAsCount_Tbl[[#This Row],[Learners with Disabilities]]&gt;=1,1,Count_Tbl[[#This Row],[Learners with Disabilities]]/GoalAsCount_Tbl[[#This Row],[Learners with Disabilities]])," ")</f>
        <v xml:space="preserve"> </v>
      </c>
      <c r="W6" s="85" t="str">
        <f>IFERROR(IF(Count_Tbl[[#This Row],[Learners with Disabilities Male]]/GoalAsCount_Tbl[[#This Row],[Learners with Disabilities Male]]&gt;=1,1,Count_Tbl[[#This Row],[Learners with Disabilities Male]]/GoalAsCount_Tbl[[#This Row],[Learners with Disabilities Male]])," ")</f>
        <v xml:space="preserve"> </v>
      </c>
      <c r="X6" s="85" t="str">
        <f>IFERROR(IF(Count_Tbl[[#This Row],[Learners with Disabilities Female]]/GoalAsCount_Tbl[[#This Row],[Learners with Disabilities Female]]&gt;=1,1,Count_Tbl[[#This Row],[Learners with Disabilities Female]]/GoalAsCount_Tbl[[#This Row],[Learners with Disabilities Female]])," ")</f>
        <v xml:space="preserve"> </v>
      </c>
      <c r="Y6" s="85" t="str">
        <f>IFERROR(IF(Count_Tbl[[#This Row],[Economically Disadvantaged]]/GoalAsCount_Tbl[[#This Row],[Economically Disadvantaged]]&gt;=1,1,Count_Tbl[[#This Row],[Economically Disadvantaged]]/GoalAsCount_Tbl[[#This Row],[Economically Disadvantaged]])," ")</f>
        <v xml:space="preserve"> </v>
      </c>
      <c r="Z6" s="85" t="str">
        <f>IFERROR(IF(Count_Tbl[[#This Row],[Economically Disadvantaged Male]]/GoalAsCount_Tbl[[#This Row],[Economically Disadvantaged Male]]&gt;=1,1,Count_Tbl[[#This Row],[Economically Disadvantaged Male]]/GoalAsCount_Tbl[[#This Row],[Economically Disadvantaged Male]])," ")</f>
        <v xml:space="preserve"> </v>
      </c>
      <c r="AA6" s="85" t="str">
        <f>IFERROR(IF(Count_Tbl[[#This Row],[Economically Disadvantaged Female]]/GoalAsCount_Tbl[[#This Row],[Economically Disadvantaged Female]]&gt;=1,1,Count_Tbl[[#This Row],[Economically Disadvantaged Female]]/GoalAsCount_Tbl[[#This Row],[Economically Disadvantaged Female]])," ")</f>
        <v xml:space="preserve"> </v>
      </c>
      <c r="AB6" s="85" t="str">
        <f>IFERROR(IF(Count_Tbl[[#This Row],[English Learner]]/GoalAsCount_Tbl[[#This Row],[English Learner]]&gt;=1,1,Count_Tbl[[#This Row],[English Learner]]/GoalAsCount_Tbl[[#This Row],[English Learner]])," ")</f>
        <v xml:space="preserve"> </v>
      </c>
      <c r="AC6" s="85" t="str">
        <f>IFERROR(IF(Count_Tbl[[#This Row],[English Learner Male]]/GoalAsCount_Tbl[[#This Row],[English Learner Male]]&gt;=1,1,Count_Tbl[[#This Row],[English Learner Male]]/GoalAsCount_Tbl[[#This Row],[English Learner Male]])," ")</f>
        <v xml:space="preserve"> </v>
      </c>
      <c r="AD6" s="85" t="str">
        <f>IFERROR(IF(Count_Tbl[[#This Row],[English Learner Female]]/GoalAsCount_Tbl[[#This Row],[English Learner Female]]&gt;=1,1,Count_Tbl[[#This Row],[English Learner Female]]/GoalAsCount_Tbl[[#This Row],[English Learner Female]])," ")</f>
        <v xml:space="preserve"> </v>
      </c>
      <c r="AE6" s="85" t="str">
        <f>IFERROR(IF(Count_Tbl[[#This Row],[Migrant]]/GoalAsCount_Tbl[[#This Row],[Migrant]]&gt;=1,1,Count_Tbl[[#This Row],[Migrant]]/GoalAsCount_Tbl[[#This Row],[Migrant]])," ")</f>
        <v xml:space="preserve"> </v>
      </c>
      <c r="AF6" s="85" t="str">
        <f>IFERROR(IF(Count_Tbl[[#This Row],[Migrant Male]]/GoalAsCount_Tbl[[#This Row],[Migrant Male]]&gt;=1,1,Count_Tbl[[#This Row],[Migrant Male]]/GoalAsCount_Tbl[[#This Row],[Migrant Male]])," ")</f>
        <v xml:space="preserve"> </v>
      </c>
      <c r="AG6" s="85" t="str">
        <f>IFERROR(IF(Count_Tbl[[#This Row],[Migrant Female]]/GoalAsCount_Tbl[[#This Row],[Migrant Female]]&gt;=1,1,Count_Tbl[[#This Row],[Migrant Female]]/GoalAsCount_Tbl[[#This Row],[Migrant Female]])," ")</f>
        <v xml:space="preserve"> </v>
      </c>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row>
    <row r="7" spans="1:85" ht="15" hidden="1" x14ac:dyDescent="0.15">
      <c r="A7" s="87" t="str">
        <f>Count_Tbl[[#This Row],[Column1]]</f>
        <v>HWHD CTE Concentration</v>
      </c>
      <c r="B7" s="84" t="str">
        <f>IFERROR(IF(Count_Tbl[[#This Row],[Male]]/GoalAsCount_Tbl[[#This Row],[Male]]&gt;=1,1,Count_Tbl[[#This Row],[Male]]/GoalAsCount_Tbl[[#This Row],[Male]])," ")</f>
        <v xml:space="preserve"> </v>
      </c>
      <c r="C7" s="85" t="str">
        <f>IFERROR(IF(Count_Tbl[[#This Row],[Female]]/GoalAsCount_Tbl[[#This Row],[Female]]&gt;=1,1,Count_Tbl[[#This Row],[Female]]/GoalAsCount_Tbl[[#This Row],[Female]])," ")</f>
        <v xml:space="preserve"> </v>
      </c>
      <c r="D7" s="85" t="str">
        <f>IFERROR(IF(Count_Tbl[[#This Row],[Asian or Pacific Islander]]/GoalAsCount_Tbl[[#This Row],[Asian or Pacific Islander]]&gt;=1,1,Count_Tbl[[#This Row],[Asian or Pacific Islander]]/GoalAsCount_Tbl[[#This Row],[Asian or Pacific Islander]])," ")</f>
        <v xml:space="preserve"> </v>
      </c>
      <c r="E7" s="85" t="str">
        <f>IFERROR(IF(Count_Tbl[[#This Row],[Asian or Pacific Islander Male]]/GoalAsCount_Tbl[[#This Row],[Asian or Pacific Islander Male]]&gt;=1,1,Count_Tbl[[#This Row],[Asian or Pacific Islander Male]]/GoalAsCount_Tbl[[#This Row],[Asian or Pacific Islander Male]])," ")</f>
        <v xml:space="preserve"> </v>
      </c>
      <c r="F7" s="85" t="str">
        <f>IFERROR(IF(Count_Tbl[[#This Row],[Asian or Pacific Islander Female]]/GoalAsCount_Tbl[[#This Row],[Asian or Pacific Islander Female]]&gt;=1,1,Count_Tbl[[#This Row],[Asian or Pacific Islander Female]]/GoalAsCount_Tbl[[#This Row],[Asian or Pacific Islander Female]])," ")</f>
        <v xml:space="preserve"> </v>
      </c>
      <c r="G7" s="85" t="str">
        <f>IFERROR(IF(Count_Tbl[[#This Row],[Black Non-Latinx]]/GoalAsCount_Tbl[[#This Row],[Black Non-Latinx]]&gt;=1,1,Count_Tbl[[#This Row],[Black Non-Latinx]]/GoalAsCount_Tbl[[#This Row],[Black Non-Latinx]])," ")</f>
        <v xml:space="preserve"> </v>
      </c>
      <c r="H7" s="85" t="str">
        <f>IFERROR(IF(Count_Tbl[[#This Row],[Black Non-Latinx Male]]/GoalAsCount_Tbl[[#This Row],[Black Non-Latinx Male]]&gt;=1,1,Count_Tbl[[#This Row],[Black Non-Latinx Male]]/GoalAsCount_Tbl[[#This Row],[Black Non-Latinx Male]])," ")</f>
        <v xml:space="preserve"> </v>
      </c>
      <c r="I7" s="85" t="str">
        <f>IFERROR(IF(Count_Tbl[[#This Row],[Black Non-Latinx Female]]/GoalAsCount_Tbl[[#This Row],[Black Non-Latinx Female]]&gt;=1,1,Count_Tbl[[#This Row],[Black Non-Latinx Female]]/GoalAsCount_Tbl[[#This Row],[Black Non-Latinx Female]])," ")</f>
        <v xml:space="preserve"> </v>
      </c>
      <c r="J7" s="85" t="str">
        <f>IFERROR(IF(Count_Tbl[[#This Row],[Latinx]]/GoalAsCount_Tbl[[#This Row],[Latinx]]&gt;=1,1,Count_Tbl[[#This Row],[Latinx]]/GoalAsCount_Tbl[[#This Row],[Latinx]])," ")</f>
        <v xml:space="preserve"> </v>
      </c>
      <c r="K7" s="85" t="str">
        <f>IFERROR(IF(Count_Tbl[[#This Row],[Latinx Male]]/GoalAsCount_Tbl[[#This Row],[Latinx Male]]&gt;=1,1,Count_Tbl[[#This Row],[Latinx Male]]/GoalAsCount_Tbl[[#This Row],[Latinx Male]])," ")</f>
        <v xml:space="preserve"> </v>
      </c>
      <c r="L7" s="85" t="str">
        <f>IFERROR(IF(Count_Tbl[[#This Row],[Latinx Female]]/GoalAsCount_Tbl[[#This Row],[Latinx Female]]&gt;=1,1,Count_Tbl[[#This Row],[Latinx Female]]/GoalAsCount_Tbl[[#This Row],[Latinx Female]])," ")</f>
        <v xml:space="preserve"> </v>
      </c>
      <c r="M7" s="85" t="str">
        <f>IFERROR(IF(Count_Tbl[[#This Row],[Multiracial]]/GoalAsCount_Tbl[[#This Row],[Multiracial]]&gt;=1,1,Count_Tbl[[#This Row],[Multiracial]]/GoalAsCount_Tbl[[#This Row],[Multiracial]])," ")</f>
        <v xml:space="preserve"> </v>
      </c>
      <c r="N7" s="85" t="str">
        <f>IFERROR(IF(Count_Tbl[[#This Row],[Multiracial Male]]/GoalAsCount_Tbl[[#This Row],[Multiracial Male]]&gt;=1,1,Count_Tbl[[#This Row],[Multiracial Male]]/GoalAsCount_Tbl[[#This Row],[Multiracial Male]])," ")</f>
        <v xml:space="preserve"> </v>
      </c>
      <c r="O7" s="84" t="str">
        <f>IFERROR(IF(Count_Tbl[[#This Row],[Multiracial Female]]/GoalAsCount_Tbl[[#This Row],[Multiracial Female]]&gt;=1,1,Count_Tbl[[#This Row],[Multiracial Female]]/GoalAsCount_Tbl[[#This Row],[Multiracial Female]])," ")</f>
        <v xml:space="preserve"> </v>
      </c>
      <c r="P7" s="85" t="str">
        <f>IFERROR(IF(Count_Tbl[[#This Row],[Native American or Alaska Native]]/GoalAsCount_Tbl[[#This Row],[Native American or Alaska Native]]&gt;=1,1,Count_Tbl[[#This Row],[Native American or Alaska Native]]/GoalAsCount_Tbl[[#This Row],[Native American or Alaska Native]])," ")</f>
        <v xml:space="preserve"> </v>
      </c>
      <c r="Q7" s="85" t="str">
        <f>IFERROR(IF(Count_Tbl[[#This Row],[Native American or Alaska Native Male]]/GoalAsCount_Tbl[[#This Row],[Native American or Alaska Native Male]]&gt;=1,1,Count_Tbl[[#This Row],[Native American or Alaska Native Male]]/GoalAsCount_Tbl[[#This Row],[Native American or Alaska Native Male]])," ")</f>
        <v xml:space="preserve"> </v>
      </c>
      <c r="R7" s="85" t="str">
        <f>IFERROR(IF(Count_Tbl[[#This Row],[Native American or Alaska Native Female]]/GoalAsCount_Tbl[[#This Row],[Native American or Alaska Native Female]]&gt;=1,1,Count_Tbl[[#This Row],[Native American or Alaska Native Female]]/GoalAsCount_Tbl[[#This Row],[Native American or Alaska Native Female]])," ")</f>
        <v xml:space="preserve"> </v>
      </c>
      <c r="S7" s="85" t="str">
        <f>IFERROR(IF(Count_Tbl[[#This Row],[White Non-Latinx]]/GoalAsCount_Tbl[[#This Row],[White Non-Latinx]]&gt;=1,1,Count_Tbl[[#This Row],[White Non-Latinx]]/GoalAsCount_Tbl[[#This Row],[White Non-Latinx]])," ")</f>
        <v xml:space="preserve"> </v>
      </c>
      <c r="T7" s="85" t="str">
        <f>IFERROR(IF(Count_Tbl[[#This Row],[White Non-Latinx Male]]/GoalAsCount_Tbl[[#This Row],[White Non-Latinx Male]]&gt;=1,1,Count_Tbl[[#This Row],[White Non-Latinx Male]]/GoalAsCount_Tbl[[#This Row],[White Non-Latinx Male]])," ")</f>
        <v xml:space="preserve"> </v>
      </c>
      <c r="U7" s="85" t="str">
        <f>IFERROR(IF(Count_Tbl[[#This Row],[White Non-Latinx Female]]/GoalAsCount_Tbl[[#This Row],[White Non-Latinx Female]]&gt;=1,1,Count_Tbl[[#This Row],[White Non-Latinx Female]]/GoalAsCount_Tbl[[#This Row],[White Non-Latinx Female]])," ")</f>
        <v xml:space="preserve"> </v>
      </c>
      <c r="V7" s="85" t="str">
        <f>IFERROR(IF(Count_Tbl[[#This Row],[Learners with Disabilities]]/GoalAsCount_Tbl[[#This Row],[Learners with Disabilities]]&gt;=1,1,Count_Tbl[[#This Row],[Learners with Disabilities]]/GoalAsCount_Tbl[[#This Row],[Learners with Disabilities]])," ")</f>
        <v xml:space="preserve"> </v>
      </c>
      <c r="W7" s="85" t="str">
        <f>IFERROR(IF(Count_Tbl[[#This Row],[Learners with Disabilities Male]]/GoalAsCount_Tbl[[#This Row],[Learners with Disabilities Male]]&gt;=1,1,Count_Tbl[[#This Row],[Learners with Disabilities Male]]/GoalAsCount_Tbl[[#This Row],[Learners with Disabilities Male]])," ")</f>
        <v xml:space="preserve"> </v>
      </c>
      <c r="X7" s="85" t="str">
        <f>IFERROR(IF(Count_Tbl[[#This Row],[Learners with Disabilities Female]]/GoalAsCount_Tbl[[#This Row],[Learners with Disabilities Female]]&gt;=1,1,Count_Tbl[[#This Row],[Learners with Disabilities Female]]/GoalAsCount_Tbl[[#This Row],[Learners with Disabilities Female]])," ")</f>
        <v xml:space="preserve"> </v>
      </c>
      <c r="Y7" s="85" t="str">
        <f>IFERROR(IF(Count_Tbl[[#This Row],[Economically Disadvantaged]]/GoalAsCount_Tbl[[#This Row],[Economically Disadvantaged]]&gt;=1,1,Count_Tbl[[#This Row],[Economically Disadvantaged]]/GoalAsCount_Tbl[[#This Row],[Economically Disadvantaged]])," ")</f>
        <v xml:space="preserve"> </v>
      </c>
      <c r="Z7" s="85" t="str">
        <f>IFERROR(IF(Count_Tbl[[#This Row],[Economically Disadvantaged Male]]/GoalAsCount_Tbl[[#This Row],[Economically Disadvantaged Male]]&gt;=1,1,Count_Tbl[[#This Row],[Economically Disadvantaged Male]]/GoalAsCount_Tbl[[#This Row],[Economically Disadvantaged Male]])," ")</f>
        <v xml:space="preserve"> </v>
      </c>
      <c r="AA7" s="85" t="str">
        <f>IFERROR(IF(Count_Tbl[[#This Row],[Economically Disadvantaged Female]]/GoalAsCount_Tbl[[#This Row],[Economically Disadvantaged Female]]&gt;=1,1,Count_Tbl[[#This Row],[Economically Disadvantaged Female]]/GoalAsCount_Tbl[[#This Row],[Economically Disadvantaged Female]])," ")</f>
        <v xml:space="preserve"> </v>
      </c>
      <c r="AB7" s="85" t="str">
        <f>IFERROR(IF(Count_Tbl[[#This Row],[English Learner]]/GoalAsCount_Tbl[[#This Row],[English Learner]]&gt;=1,1,Count_Tbl[[#This Row],[English Learner]]/GoalAsCount_Tbl[[#This Row],[English Learner]])," ")</f>
        <v xml:space="preserve"> </v>
      </c>
      <c r="AC7" s="85" t="str">
        <f>IFERROR(IF(Count_Tbl[[#This Row],[English Learner Male]]/GoalAsCount_Tbl[[#This Row],[English Learner Male]]&gt;=1,1,Count_Tbl[[#This Row],[English Learner Male]]/GoalAsCount_Tbl[[#This Row],[English Learner Male]])," ")</f>
        <v xml:space="preserve"> </v>
      </c>
      <c r="AD7" s="85" t="str">
        <f>IFERROR(IF(Count_Tbl[[#This Row],[English Learner Female]]/GoalAsCount_Tbl[[#This Row],[English Learner Female]]&gt;=1,1,Count_Tbl[[#This Row],[English Learner Female]]/GoalAsCount_Tbl[[#This Row],[English Learner Female]])," ")</f>
        <v xml:space="preserve"> </v>
      </c>
      <c r="AE7" s="85" t="str">
        <f>IFERROR(IF(Count_Tbl[[#This Row],[Migrant]]/GoalAsCount_Tbl[[#This Row],[Migrant]]&gt;=1,1,Count_Tbl[[#This Row],[Migrant]]/GoalAsCount_Tbl[[#This Row],[Migrant]])," ")</f>
        <v xml:space="preserve"> </v>
      </c>
      <c r="AF7" s="85" t="str">
        <f>IFERROR(IF(Count_Tbl[[#This Row],[Migrant Male]]/GoalAsCount_Tbl[[#This Row],[Migrant Male]]&gt;=1,1,Count_Tbl[[#This Row],[Migrant Male]]/GoalAsCount_Tbl[[#This Row],[Migrant Male]])," ")</f>
        <v xml:space="preserve"> </v>
      </c>
      <c r="AG7" s="85" t="str">
        <f>IFERROR(IF(Count_Tbl[[#This Row],[Migrant Female]]/GoalAsCount_Tbl[[#This Row],[Migrant Female]]&gt;=1,1,Count_Tbl[[#This Row],[Migrant Female]]/GoalAsCount_Tbl[[#This Row],[Migrant Female]])," ")</f>
        <v xml:space="preserve"> </v>
      </c>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row>
    <row r="8" spans="1:85" ht="15" hidden="1" x14ac:dyDescent="0.15">
      <c r="A8" s="87" t="str">
        <f>Count_Tbl[[#This Row],[Column1]]</f>
        <v>WBL Completion</v>
      </c>
      <c r="B8" s="84" t="str">
        <f>IFERROR(IF(Count_Tbl[[#This Row],[Male]]/GoalAsCount_Tbl[[#This Row],[Male]]&gt;=1,1,Count_Tbl[[#This Row],[Male]]/GoalAsCount_Tbl[[#This Row],[Male]])," ")</f>
        <v xml:space="preserve"> </v>
      </c>
      <c r="C8" s="85" t="str">
        <f>IFERROR(IF(Count_Tbl[[#This Row],[Female]]/GoalAsCount_Tbl[[#This Row],[Female]]&gt;=1,1,Count_Tbl[[#This Row],[Female]]/GoalAsCount_Tbl[[#This Row],[Female]])," ")</f>
        <v xml:space="preserve"> </v>
      </c>
      <c r="D8" s="85" t="str">
        <f>IFERROR(IF(Count_Tbl[[#This Row],[Asian or Pacific Islander]]/GoalAsCount_Tbl[[#This Row],[Asian or Pacific Islander]]&gt;=1,1,Count_Tbl[[#This Row],[Asian or Pacific Islander]]/GoalAsCount_Tbl[[#This Row],[Asian or Pacific Islander]])," ")</f>
        <v xml:space="preserve"> </v>
      </c>
      <c r="E8" s="85" t="str">
        <f>IFERROR(IF(Count_Tbl[[#This Row],[Asian or Pacific Islander Male]]/GoalAsCount_Tbl[[#This Row],[Asian or Pacific Islander Male]]&gt;=1,1,Count_Tbl[[#This Row],[Asian or Pacific Islander Male]]/GoalAsCount_Tbl[[#This Row],[Asian or Pacific Islander Male]])," ")</f>
        <v xml:space="preserve"> </v>
      </c>
      <c r="F8" s="85" t="str">
        <f>IFERROR(IF(Count_Tbl[[#This Row],[Asian or Pacific Islander Female]]/GoalAsCount_Tbl[[#This Row],[Asian or Pacific Islander Female]]&gt;=1,1,Count_Tbl[[#This Row],[Asian or Pacific Islander Female]]/GoalAsCount_Tbl[[#This Row],[Asian or Pacific Islander Female]])," ")</f>
        <v xml:space="preserve"> </v>
      </c>
      <c r="G8" s="85" t="str">
        <f>IFERROR(IF(Count_Tbl[[#This Row],[Black Non-Latinx]]/GoalAsCount_Tbl[[#This Row],[Black Non-Latinx]]&gt;=1,1,Count_Tbl[[#This Row],[Black Non-Latinx]]/GoalAsCount_Tbl[[#This Row],[Black Non-Latinx]])," ")</f>
        <v xml:space="preserve"> </v>
      </c>
      <c r="H8" s="85" t="str">
        <f>IFERROR(IF(Count_Tbl[[#This Row],[Black Non-Latinx Male]]/GoalAsCount_Tbl[[#This Row],[Black Non-Latinx Male]]&gt;=1,1,Count_Tbl[[#This Row],[Black Non-Latinx Male]]/GoalAsCount_Tbl[[#This Row],[Black Non-Latinx Male]])," ")</f>
        <v xml:space="preserve"> </v>
      </c>
      <c r="I8" s="85" t="str">
        <f>IFERROR(IF(Count_Tbl[[#This Row],[Black Non-Latinx Female]]/GoalAsCount_Tbl[[#This Row],[Black Non-Latinx Female]]&gt;=1,1,Count_Tbl[[#This Row],[Black Non-Latinx Female]]/GoalAsCount_Tbl[[#This Row],[Black Non-Latinx Female]])," ")</f>
        <v xml:space="preserve"> </v>
      </c>
      <c r="J8" s="85" t="str">
        <f>IFERROR(IF(Count_Tbl[[#This Row],[Latinx]]/GoalAsCount_Tbl[[#This Row],[Latinx]]&gt;=1,1,Count_Tbl[[#This Row],[Latinx]]/GoalAsCount_Tbl[[#This Row],[Latinx]])," ")</f>
        <v xml:space="preserve"> </v>
      </c>
      <c r="K8" s="85" t="str">
        <f>IFERROR(IF(Count_Tbl[[#This Row],[Latinx Male]]/GoalAsCount_Tbl[[#This Row],[Latinx Male]]&gt;=1,1,Count_Tbl[[#This Row],[Latinx Male]]/GoalAsCount_Tbl[[#This Row],[Latinx Male]])," ")</f>
        <v xml:space="preserve"> </v>
      </c>
      <c r="L8" s="85" t="str">
        <f>IFERROR(IF(Count_Tbl[[#This Row],[Latinx Female]]/GoalAsCount_Tbl[[#This Row],[Latinx Female]]&gt;=1,1,Count_Tbl[[#This Row],[Latinx Female]]/GoalAsCount_Tbl[[#This Row],[Latinx Female]])," ")</f>
        <v xml:space="preserve"> </v>
      </c>
      <c r="M8" s="85" t="str">
        <f>IFERROR(IF(Count_Tbl[[#This Row],[Multiracial]]/GoalAsCount_Tbl[[#This Row],[Multiracial]]&gt;=1,1,Count_Tbl[[#This Row],[Multiracial]]/GoalAsCount_Tbl[[#This Row],[Multiracial]])," ")</f>
        <v xml:space="preserve"> </v>
      </c>
      <c r="N8" s="85" t="str">
        <f>IFERROR(IF(Count_Tbl[[#This Row],[Multiracial Male]]/GoalAsCount_Tbl[[#This Row],[Multiracial Male]]&gt;=1,1,Count_Tbl[[#This Row],[Multiracial Male]]/GoalAsCount_Tbl[[#This Row],[Multiracial Male]])," ")</f>
        <v xml:space="preserve"> </v>
      </c>
      <c r="O8" s="84" t="str">
        <f>IFERROR(IF(Count_Tbl[[#This Row],[Multiracial Female]]/GoalAsCount_Tbl[[#This Row],[Multiracial Female]]&gt;=1,1,Count_Tbl[[#This Row],[Multiracial Female]]/GoalAsCount_Tbl[[#This Row],[Multiracial Female]])," ")</f>
        <v xml:space="preserve"> </v>
      </c>
      <c r="P8" s="85" t="str">
        <f>IFERROR(IF(Count_Tbl[[#This Row],[Native American or Alaska Native]]/GoalAsCount_Tbl[[#This Row],[Native American or Alaska Native]]&gt;=1,1,Count_Tbl[[#This Row],[Native American or Alaska Native]]/GoalAsCount_Tbl[[#This Row],[Native American or Alaska Native]])," ")</f>
        <v xml:space="preserve"> </v>
      </c>
      <c r="Q8" s="85" t="str">
        <f>IFERROR(IF(Count_Tbl[[#This Row],[Native American or Alaska Native Male]]/GoalAsCount_Tbl[[#This Row],[Native American or Alaska Native Male]]&gt;=1,1,Count_Tbl[[#This Row],[Native American or Alaska Native Male]]/GoalAsCount_Tbl[[#This Row],[Native American or Alaska Native Male]])," ")</f>
        <v xml:space="preserve"> </v>
      </c>
      <c r="R8" s="85" t="str">
        <f>IFERROR(IF(Count_Tbl[[#This Row],[Native American or Alaska Native Female]]/GoalAsCount_Tbl[[#This Row],[Native American or Alaska Native Female]]&gt;=1,1,Count_Tbl[[#This Row],[Native American or Alaska Native Female]]/GoalAsCount_Tbl[[#This Row],[Native American or Alaska Native Female]])," ")</f>
        <v xml:space="preserve"> </v>
      </c>
      <c r="S8" s="85" t="str">
        <f>IFERROR(IF(Count_Tbl[[#This Row],[White Non-Latinx]]/GoalAsCount_Tbl[[#This Row],[White Non-Latinx]]&gt;=1,1,Count_Tbl[[#This Row],[White Non-Latinx]]/GoalAsCount_Tbl[[#This Row],[White Non-Latinx]])," ")</f>
        <v xml:space="preserve"> </v>
      </c>
      <c r="T8" s="85" t="str">
        <f>IFERROR(IF(Count_Tbl[[#This Row],[White Non-Latinx Male]]/GoalAsCount_Tbl[[#This Row],[White Non-Latinx Male]]&gt;=1,1,Count_Tbl[[#This Row],[White Non-Latinx Male]]/GoalAsCount_Tbl[[#This Row],[White Non-Latinx Male]])," ")</f>
        <v xml:space="preserve"> </v>
      </c>
      <c r="U8" s="85" t="str">
        <f>IFERROR(IF(Count_Tbl[[#This Row],[White Non-Latinx Female]]/GoalAsCount_Tbl[[#This Row],[White Non-Latinx Female]]&gt;=1,1,Count_Tbl[[#This Row],[White Non-Latinx Female]]/GoalAsCount_Tbl[[#This Row],[White Non-Latinx Female]])," ")</f>
        <v xml:space="preserve"> </v>
      </c>
      <c r="V8" s="85" t="str">
        <f>IFERROR(IF(Count_Tbl[[#This Row],[Learners with Disabilities]]/GoalAsCount_Tbl[[#This Row],[Learners with Disabilities]]&gt;=1,1,Count_Tbl[[#This Row],[Learners with Disabilities]]/GoalAsCount_Tbl[[#This Row],[Learners with Disabilities]])," ")</f>
        <v xml:space="preserve"> </v>
      </c>
      <c r="W8" s="85" t="str">
        <f>IFERROR(IF(Count_Tbl[[#This Row],[Learners with Disabilities Male]]/GoalAsCount_Tbl[[#This Row],[Learners with Disabilities Male]]&gt;=1,1,Count_Tbl[[#This Row],[Learners with Disabilities Male]]/GoalAsCount_Tbl[[#This Row],[Learners with Disabilities Male]])," ")</f>
        <v xml:space="preserve"> </v>
      </c>
      <c r="X8" s="85" t="str">
        <f>IFERROR(IF(Count_Tbl[[#This Row],[Learners with Disabilities Female]]/GoalAsCount_Tbl[[#This Row],[Learners with Disabilities Female]]&gt;=1,1,Count_Tbl[[#This Row],[Learners with Disabilities Female]]/GoalAsCount_Tbl[[#This Row],[Learners with Disabilities Female]])," ")</f>
        <v xml:space="preserve"> </v>
      </c>
      <c r="Y8" s="85" t="str">
        <f>IFERROR(IF(Count_Tbl[[#This Row],[Economically Disadvantaged]]/GoalAsCount_Tbl[[#This Row],[Economically Disadvantaged]]&gt;=1,1,Count_Tbl[[#This Row],[Economically Disadvantaged]]/GoalAsCount_Tbl[[#This Row],[Economically Disadvantaged]])," ")</f>
        <v xml:space="preserve"> </v>
      </c>
      <c r="Z8" s="85" t="str">
        <f>IFERROR(IF(Count_Tbl[[#This Row],[Economically Disadvantaged Male]]/GoalAsCount_Tbl[[#This Row],[Economically Disadvantaged Male]]&gt;=1,1,Count_Tbl[[#This Row],[Economically Disadvantaged Male]]/GoalAsCount_Tbl[[#This Row],[Economically Disadvantaged Male]])," ")</f>
        <v xml:space="preserve"> </v>
      </c>
      <c r="AA8" s="85" t="str">
        <f>IFERROR(IF(Count_Tbl[[#This Row],[Economically Disadvantaged Female]]/GoalAsCount_Tbl[[#This Row],[Economically Disadvantaged Female]]&gt;=1,1,Count_Tbl[[#This Row],[Economically Disadvantaged Female]]/GoalAsCount_Tbl[[#This Row],[Economically Disadvantaged Female]])," ")</f>
        <v xml:space="preserve"> </v>
      </c>
      <c r="AB8" s="85" t="str">
        <f>IFERROR(IF(Count_Tbl[[#This Row],[English Learner]]/GoalAsCount_Tbl[[#This Row],[English Learner]]&gt;=1,1,Count_Tbl[[#This Row],[English Learner]]/GoalAsCount_Tbl[[#This Row],[English Learner]])," ")</f>
        <v xml:space="preserve"> </v>
      </c>
      <c r="AC8" s="85" t="str">
        <f>IFERROR(IF(Count_Tbl[[#This Row],[English Learner Male]]/GoalAsCount_Tbl[[#This Row],[English Learner Male]]&gt;=1,1,Count_Tbl[[#This Row],[English Learner Male]]/GoalAsCount_Tbl[[#This Row],[English Learner Male]])," ")</f>
        <v xml:space="preserve"> </v>
      </c>
      <c r="AD8" s="85" t="str">
        <f>IFERROR(IF(Count_Tbl[[#This Row],[English Learner Female]]/GoalAsCount_Tbl[[#This Row],[English Learner Female]]&gt;=1,1,Count_Tbl[[#This Row],[English Learner Female]]/GoalAsCount_Tbl[[#This Row],[English Learner Female]])," ")</f>
        <v xml:space="preserve"> </v>
      </c>
      <c r="AE8" s="85" t="str">
        <f>IFERROR(IF(Count_Tbl[[#This Row],[Migrant]]/GoalAsCount_Tbl[[#This Row],[Migrant]]&gt;=1,1,Count_Tbl[[#This Row],[Migrant]]/GoalAsCount_Tbl[[#This Row],[Migrant]])," ")</f>
        <v xml:space="preserve"> </v>
      </c>
      <c r="AF8" s="85" t="str">
        <f>IFERROR(IF(Count_Tbl[[#This Row],[Migrant Male]]/GoalAsCount_Tbl[[#This Row],[Migrant Male]]&gt;=1,1,Count_Tbl[[#This Row],[Migrant Male]]/GoalAsCount_Tbl[[#This Row],[Migrant Male]])," ")</f>
        <v xml:space="preserve"> </v>
      </c>
      <c r="AG8" s="85" t="str">
        <f>IFERROR(IF(Count_Tbl[[#This Row],[Migrant Female]]/GoalAsCount_Tbl[[#This Row],[Migrant Female]]&gt;=1,1,Count_Tbl[[#This Row],[Migrant Female]]/GoalAsCount_Tbl[[#This Row],[Migrant Female]])," ")</f>
        <v xml:space="preserve"> </v>
      </c>
    </row>
    <row r="9" spans="1:85" ht="15" hidden="1" x14ac:dyDescent="0.15">
      <c r="A9" s="87" t="str">
        <f>Count_Tbl[[#This Row],[Column1]]</f>
        <v>Advanced Coursework Completion</v>
      </c>
      <c r="B9" s="84" t="str">
        <f>IFERROR(IF(Count_Tbl[[#This Row],[Male]]/GoalAsCount_Tbl[[#This Row],[Male]]&gt;=1,1,Count_Tbl[[#This Row],[Male]]/GoalAsCount_Tbl[[#This Row],[Male]])," ")</f>
        <v xml:space="preserve"> </v>
      </c>
      <c r="C9" s="85" t="str">
        <f>IFERROR(IF(Count_Tbl[[#This Row],[Female]]/GoalAsCount_Tbl[[#This Row],[Female]]&gt;=1,1,Count_Tbl[[#This Row],[Female]]/GoalAsCount_Tbl[[#This Row],[Female]])," ")</f>
        <v xml:space="preserve"> </v>
      </c>
      <c r="D9" s="85" t="str">
        <f>IFERROR(IF(Count_Tbl[[#This Row],[Asian or Pacific Islander]]/GoalAsCount_Tbl[[#This Row],[Asian or Pacific Islander]]&gt;=1,1,Count_Tbl[[#This Row],[Asian or Pacific Islander]]/GoalAsCount_Tbl[[#This Row],[Asian or Pacific Islander]])," ")</f>
        <v xml:space="preserve"> </v>
      </c>
      <c r="E9" s="85" t="str">
        <f>IFERROR(IF(Count_Tbl[[#This Row],[Asian or Pacific Islander Male]]/GoalAsCount_Tbl[[#This Row],[Asian or Pacific Islander Male]]&gt;=1,1,Count_Tbl[[#This Row],[Asian or Pacific Islander Male]]/GoalAsCount_Tbl[[#This Row],[Asian or Pacific Islander Male]])," ")</f>
        <v xml:space="preserve"> </v>
      </c>
      <c r="F9" s="85" t="str">
        <f>IFERROR(IF(Count_Tbl[[#This Row],[Asian or Pacific Islander Female]]/GoalAsCount_Tbl[[#This Row],[Asian or Pacific Islander Female]]&gt;=1,1,Count_Tbl[[#This Row],[Asian or Pacific Islander Female]]/GoalAsCount_Tbl[[#This Row],[Asian or Pacific Islander Female]])," ")</f>
        <v xml:space="preserve"> </v>
      </c>
      <c r="G9" s="85" t="str">
        <f>IFERROR(IF(Count_Tbl[[#This Row],[Black Non-Latinx]]/GoalAsCount_Tbl[[#This Row],[Black Non-Latinx]]&gt;=1,1,Count_Tbl[[#This Row],[Black Non-Latinx]]/GoalAsCount_Tbl[[#This Row],[Black Non-Latinx]])," ")</f>
        <v xml:space="preserve"> </v>
      </c>
      <c r="H9" s="85" t="str">
        <f>IFERROR(IF(Count_Tbl[[#This Row],[Black Non-Latinx Male]]/GoalAsCount_Tbl[[#This Row],[Black Non-Latinx Male]]&gt;=1,1,Count_Tbl[[#This Row],[Black Non-Latinx Male]]/GoalAsCount_Tbl[[#This Row],[Black Non-Latinx Male]])," ")</f>
        <v xml:space="preserve"> </v>
      </c>
      <c r="I9" s="85" t="str">
        <f>IFERROR(IF(Count_Tbl[[#This Row],[Black Non-Latinx Female]]/GoalAsCount_Tbl[[#This Row],[Black Non-Latinx Female]]&gt;=1,1,Count_Tbl[[#This Row],[Black Non-Latinx Female]]/GoalAsCount_Tbl[[#This Row],[Black Non-Latinx Female]])," ")</f>
        <v xml:space="preserve"> </v>
      </c>
      <c r="J9" s="85" t="str">
        <f>IFERROR(IF(Count_Tbl[[#This Row],[Latinx]]/GoalAsCount_Tbl[[#This Row],[Latinx]]&gt;=1,1,Count_Tbl[[#This Row],[Latinx]]/GoalAsCount_Tbl[[#This Row],[Latinx]])," ")</f>
        <v xml:space="preserve"> </v>
      </c>
      <c r="K9" s="85" t="str">
        <f>IFERROR(IF(Count_Tbl[[#This Row],[Latinx Male]]/GoalAsCount_Tbl[[#This Row],[Latinx Male]]&gt;=1,1,Count_Tbl[[#This Row],[Latinx Male]]/GoalAsCount_Tbl[[#This Row],[Latinx Male]])," ")</f>
        <v xml:space="preserve"> </v>
      </c>
      <c r="L9" s="85" t="str">
        <f>IFERROR(IF(Count_Tbl[[#This Row],[Latinx Female]]/GoalAsCount_Tbl[[#This Row],[Latinx Female]]&gt;=1,1,Count_Tbl[[#This Row],[Latinx Female]]/GoalAsCount_Tbl[[#This Row],[Latinx Female]])," ")</f>
        <v xml:space="preserve"> </v>
      </c>
      <c r="M9" s="85" t="str">
        <f>IFERROR(IF(Count_Tbl[[#This Row],[Multiracial]]/GoalAsCount_Tbl[[#This Row],[Multiracial]]&gt;=1,1,Count_Tbl[[#This Row],[Multiracial]]/GoalAsCount_Tbl[[#This Row],[Multiracial]])," ")</f>
        <v xml:space="preserve"> </v>
      </c>
      <c r="N9" s="85" t="str">
        <f>IFERROR(IF(Count_Tbl[[#This Row],[Multiracial Male]]/GoalAsCount_Tbl[[#This Row],[Multiracial Male]]&gt;=1,1,Count_Tbl[[#This Row],[Multiracial Male]]/GoalAsCount_Tbl[[#This Row],[Multiracial Male]])," ")</f>
        <v xml:space="preserve"> </v>
      </c>
      <c r="O9" s="84" t="str">
        <f>IFERROR(IF(Count_Tbl[[#This Row],[Multiracial Female]]/GoalAsCount_Tbl[[#This Row],[Multiracial Female]]&gt;=1,1,Count_Tbl[[#This Row],[Multiracial Female]]/GoalAsCount_Tbl[[#This Row],[Multiracial Female]])," ")</f>
        <v xml:space="preserve"> </v>
      </c>
      <c r="P9" s="85" t="str">
        <f>IFERROR(IF(Count_Tbl[[#This Row],[Native American or Alaska Native]]/GoalAsCount_Tbl[[#This Row],[Native American or Alaska Native]]&gt;=1,1,Count_Tbl[[#This Row],[Native American or Alaska Native]]/GoalAsCount_Tbl[[#This Row],[Native American or Alaska Native]])," ")</f>
        <v xml:space="preserve"> </v>
      </c>
      <c r="Q9" s="85" t="str">
        <f>IFERROR(IF(Count_Tbl[[#This Row],[Native American or Alaska Native Male]]/GoalAsCount_Tbl[[#This Row],[Native American or Alaska Native Male]]&gt;=1,1,Count_Tbl[[#This Row],[Native American or Alaska Native Male]]/GoalAsCount_Tbl[[#This Row],[Native American or Alaska Native Male]])," ")</f>
        <v xml:space="preserve"> </v>
      </c>
      <c r="R9" s="85" t="str">
        <f>IFERROR(IF(Count_Tbl[[#This Row],[Native American or Alaska Native Female]]/GoalAsCount_Tbl[[#This Row],[Native American or Alaska Native Female]]&gt;=1,1,Count_Tbl[[#This Row],[Native American or Alaska Native Female]]/GoalAsCount_Tbl[[#This Row],[Native American or Alaska Native Female]])," ")</f>
        <v xml:space="preserve"> </v>
      </c>
      <c r="S9" s="85" t="str">
        <f>IFERROR(IF(Count_Tbl[[#This Row],[White Non-Latinx]]/GoalAsCount_Tbl[[#This Row],[White Non-Latinx]]&gt;=1,1,Count_Tbl[[#This Row],[White Non-Latinx]]/GoalAsCount_Tbl[[#This Row],[White Non-Latinx]])," ")</f>
        <v xml:space="preserve"> </v>
      </c>
      <c r="T9" s="85" t="str">
        <f>IFERROR(IF(Count_Tbl[[#This Row],[White Non-Latinx Male]]/GoalAsCount_Tbl[[#This Row],[White Non-Latinx Male]]&gt;=1,1,Count_Tbl[[#This Row],[White Non-Latinx Male]]/GoalAsCount_Tbl[[#This Row],[White Non-Latinx Male]])," ")</f>
        <v xml:space="preserve"> </v>
      </c>
      <c r="U9" s="85" t="str">
        <f>IFERROR(IF(Count_Tbl[[#This Row],[White Non-Latinx Female]]/GoalAsCount_Tbl[[#This Row],[White Non-Latinx Female]]&gt;=1,1,Count_Tbl[[#This Row],[White Non-Latinx Female]]/GoalAsCount_Tbl[[#This Row],[White Non-Latinx Female]])," ")</f>
        <v xml:space="preserve"> </v>
      </c>
      <c r="V9" s="85" t="str">
        <f>IFERROR(IF(Count_Tbl[[#This Row],[Learners with Disabilities]]/GoalAsCount_Tbl[[#This Row],[Learners with Disabilities]]&gt;=1,1,Count_Tbl[[#This Row],[Learners with Disabilities]]/GoalAsCount_Tbl[[#This Row],[Learners with Disabilities]])," ")</f>
        <v xml:space="preserve"> </v>
      </c>
      <c r="W9" s="85" t="str">
        <f>IFERROR(IF(Count_Tbl[[#This Row],[Learners with Disabilities Male]]/GoalAsCount_Tbl[[#This Row],[Learners with Disabilities Male]]&gt;=1,1,Count_Tbl[[#This Row],[Learners with Disabilities Male]]/GoalAsCount_Tbl[[#This Row],[Learners with Disabilities Male]])," ")</f>
        <v xml:space="preserve"> </v>
      </c>
      <c r="X9" s="85" t="str">
        <f>IFERROR(IF(Count_Tbl[[#This Row],[Learners with Disabilities Female]]/GoalAsCount_Tbl[[#This Row],[Learners with Disabilities Female]]&gt;=1,1,Count_Tbl[[#This Row],[Learners with Disabilities Female]]/GoalAsCount_Tbl[[#This Row],[Learners with Disabilities Female]])," ")</f>
        <v xml:space="preserve"> </v>
      </c>
      <c r="Y9" s="85" t="str">
        <f>IFERROR(IF(Count_Tbl[[#This Row],[Economically Disadvantaged]]/GoalAsCount_Tbl[[#This Row],[Economically Disadvantaged]]&gt;=1,1,Count_Tbl[[#This Row],[Economically Disadvantaged]]/GoalAsCount_Tbl[[#This Row],[Economically Disadvantaged]])," ")</f>
        <v xml:space="preserve"> </v>
      </c>
      <c r="Z9" s="85" t="str">
        <f>IFERROR(IF(Count_Tbl[[#This Row],[Economically Disadvantaged Male]]/GoalAsCount_Tbl[[#This Row],[Economically Disadvantaged Male]]&gt;=1,1,Count_Tbl[[#This Row],[Economically Disadvantaged Male]]/GoalAsCount_Tbl[[#This Row],[Economically Disadvantaged Male]])," ")</f>
        <v xml:space="preserve"> </v>
      </c>
      <c r="AA9" s="85" t="str">
        <f>IFERROR(IF(Count_Tbl[[#This Row],[Economically Disadvantaged Female]]/GoalAsCount_Tbl[[#This Row],[Economically Disadvantaged Female]]&gt;=1,1,Count_Tbl[[#This Row],[Economically Disadvantaged Female]]/GoalAsCount_Tbl[[#This Row],[Economically Disadvantaged Female]])," ")</f>
        <v xml:space="preserve"> </v>
      </c>
      <c r="AB9" s="85" t="str">
        <f>IFERROR(IF(Count_Tbl[[#This Row],[English Learner]]/GoalAsCount_Tbl[[#This Row],[English Learner]]&gt;=1,1,Count_Tbl[[#This Row],[English Learner]]/GoalAsCount_Tbl[[#This Row],[English Learner]])," ")</f>
        <v xml:space="preserve"> </v>
      </c>
      <c r="AC9" s="85" t="str">
        <f>IFERROR(IF(Count_Tbl[[#This Row],[English Learner Male]]/GoalAsCount_Tbl[[#This Row],[English Learner Male]]&gt;=1,1,Count_Tbl[[#This Row],[English Learner Male]]/GoalAsCount_Tbl[[#This Row],[English Learner Male]])," ")</f>
        <v xml:space="preserve"> </v>
      </c>
      <c r="AD9" s="85" t="str">
        <f>IFERROR(IF(Count_Tbl[[#This Row],[English Learner Female]]/GoalAsCount_Tbl[[#This Row],[English Learner Female]]&gt;=1,1,Count_Tbl[[#This Row],[English Learner Female]]/GoalAsCount_Tbl[[#This Row],[English Learner Female]])," ")</f>
        <v xml:space="preserve"> </v>
      </c>
      <c r="AE9" s="85" t="str">
        <f>IFERROR(IF(Count_Tbl[[#This Row],[Migrant]]/GoalAsCount_Tbl[[#This Row],[Migrant]]&gt;=1,1,Count_Tbl[[#This Row],[Migrant]]/GoalAsCount_Tbl[[#This Row],[Migrant]])," ")</f>
        <v xml:space="preserve"> </v>
      </c>
      <c r="AF9" s="85" t="str">
        <f>IFERROR(IF(Count_Tbl[[#This Row],[Migrant Male]]/GoalAsCount_Tbl[[#This Row],[Migrant Male]]&gt;=1,1,Count_Tbl[[#This Row],[Migrant Male]]/GoalAsCount_Tbl[[#This Row],[Migrant Male]])," ")</f>
        <v xml:space="preserve"> </v>
      </c>
      <c r="AG9" s="85" t="str">
        <f>IFERROR(IF(Count_Tbl[[#This Row],[Migrant Female]]/GoalAsCount_Tbl[[#This Row],[Migrant Female]]&gt;=1,1,Count_Tbl[[#This Row],[Migrant Female]]/GoalAsCount_Tbl[[#This Row],[Migrant Female]])," ")</f>
        <v xml:space="preserve"> </v>
      </c>
    </row>
    <row r="10" spans="1:85" ht="15" hidden="1" x14ac:dyDescent="0.15">
      <c r="A10" s="87" t="str">
        <f>Count_Tbl[[#This Row],[Column1]]</f>
        <v>Credential Completion</v>
      </c>
      <c r="B10" s="84" t="str">
        <f>IFERROR(IF(Count_Tbl[[#This Row],[Male]]/GoalAsCount_Tbl[[#This Row],[Male]]&gt;=1,1,Count_Tbl[[#This Row],[Male]]/GoalAsCount_Tbl[[#This Row],[Male]])," ")</f>
        <v xml:space="preserve"> </v>
      </c>
      <c r="C10" s="85" t="str">
        <f>IFERROR(IF(Count_Tbl[[#This Row],[Female]]/GoalAsCount_Tbl[[#This Row],[Female]]&gt;=1,1,Count_Tbl[[#This Row],[Female]]/GoalAsCount_Tbl[[#This Row],[Female]])," ")</f>
        <v xml:space="preserve"> </v>
      </c>
      <c r="D10" s="85" t="str">
        <f>IFERROR(IF(Count_Tbl[[#This Row],[Asian or Pacific Islander]]/GoalAsCount_Tbl[[#This Row],[Asian or Pacific Islander]]&gt;=1,1,Count_Tbl[[#This Row],[Asian or Pacific Islander]]/GoalAsCount_Tbl[[#This Row],[Asian or Pacific Islander]])," ")</f>
        <v xml:space="preserve"> </v>
      </c>
      <c r="E10" s="85" t="str">
        <f>IFERROR(IF(Count_Tbl[[#This Row],[Asian or Pacific Islander Male]]/GoalAsCount_Tbl[[#This Row],[Asian or Pacific Islander Male]]&gt;=1,1,Count_Tbl[[#This Row],[Asian or Pacific Islander Male]]/GoalAsCount_Tbl[[#This Row],[Asian or Pacific Islander Male]])," ")</f>
        <v xml:space="preserve"> </v>
      </c>
      <c r="F10" s="85" t="str">
        <f>IFERROR(IF(Count_Tbl[[#This Row],[Asian or Pacific Islander Female]]/GoalAsCount_Tbl[[#This Row],[Asian or Pacific Islander Female]]&gt;=1,1,Count_Tbl[[#This Row],[Asian or Pacific Islander Female]]/GoalAsCount_Tbl[[#This Row],[Asian or Pacific Islander Female]])," ")</f>
        <v xml:space="preserve"> </v>
      </c>
      <c r="G10" s="85" t="str">
        <f>IFERROR(IF(Count_Tbl[[#This Row],[Black Non-Latinx]]/GoalAsCount_Tbl[[#This Row],[Black Non-Latinx]]&gt;=1,1,Count_Tbl[[#This Row],[Black Non-Latinx]]/GoalAsCount_Tbl[[#This Row],[Black Non-Latinx]])," ")</f>
        <v xml:space="preserve"> </v>
      </c>
      <c r="H10" s="85" t="str">
        <f>IFERROR(IF(Count_Tbl[[#This Row],[Black Non-Latinx Male]]/GoalAsCount_Tbl[[#This Row],[Black Non-Latinx Male]]&gt;=1,1,Count_Tbl[[#This Row],[Black Non-Latinx Male]]/GoalAsCount_Tbl[[#This Row],[Black Non-Latinx Male]])," ")</f>
        <v xml:space="preserve"> </v>
      </c>
      <c r="I10" s="85" t="str">
        <f>IFERROR(IF(Count_Tbl[[#This Row],[Black Non-Latinx Female]]/GoalAsCount_Tbl[[#This Row],[Black Non-Latinx Female]]&gt;=1,1,Count_Tbl[[#This Row],[Black Non-Latinx Female]]/GoalAsCount_Tbl[[#This Row],[Black Non-Latinx Female]])," ")</f>
        <v xml:space="preserve"> </v>
      </c>
      <c r="J10" s="85" t="str">
        <f>IFERROR(IF(Count_Tbl[[#This Row],[Latinx]]/GoalAsCount_Tbl[[#This Row],[Latinx]]&gt;=1,1,Count_Tbl[[#This Row],[Latinx]]/GoalAsCount_Tbl[[#This Row],[Latinx]])," ")</f>
        <v xml:space="preserve"> </v>
      </c>
      <c r="K10" s="85" t="str">
        <f>IFERROR(IF(Count_Tbl[[#This Row],[Latinx Male]]/GoalAsCount_Tbl[[#This Row],[Latinx Male]]&gt;=1,1,Count_Tbl[[#This Row],[Latinx Male]]/GoalAsCount_Tbl[[#This Row],[Latinx Male]])," ")</f>
        <v xml:space="preserve"> </v>
      </c>
      <c r="L10" s="85" t="str">
        <f>IFERROR(IF(Count_Tbl[[#This Row],[Latinx Female]]/GoalAsCount_Tbl[[#This Row],[Latinx Female]]&gt;=1,1,Count_Tbl[[#This Row],[Latinx Female]]/GoalAsCount_Tbl[[#This Row],[Latinx Female]])," ")</f>
        <v xml:space="preserve"> </v>
      </c>
      <c r="M10" s="85" t="str">
        <f>IFERROR(IF(Count_Tbl[[#This Row],[Multiracial]]/GoalAsCount_Tbl[[#This Row],[Multiracial]]&gt;=1,1,Count_Tbl[[#This Row],[Multiracial]]/GoalAsCount_Tbl[[#This Row],[Multiracial]])," ")</f>
        <v xml:space="preserve"> </v>
      </c>
      <c r="N10" s="85" t="str">
        <f>IFERROR(IF(Count_Tbl[[#This Row],[Multiracial Male]]/GoalAsCount_Tbl[[#This Row],[Multiracial Male]]&gt;=1,1,Count_Tbl[[#This Row],[Multiracial Male]]/GoalAsCount_Tbl[[#This Row],[Multiracial Male]])," ")</f>
        <v xml:space="preserve"> </v>
      </c>
      <c r="O10" s="84" t="str">
        <f>IFERROR(IF(Count_Tbl[[#This Row],[Multiracial Female]]/GoalAsCount_Tbl[[#This Row],[Multiracial Female]]&gt;=1,1,Count_Tbl[[#This Row],[Multiracial Female]]/GoalAsCount_Tbl[[#This Row],[Multiracial Female]])," ")</f>
        <v xml:space="preserve"> </v>
      </c>
      <c r="P10" s="85" t="str">
        <f>IFERROR(IF(Count_Tbl[[#This Row],[Native American or Alaska Native]]/GoalAsCount_Tbl[[#This Row],[Native American or Alaska Native]]&gt;=1,1,Count_Tbl[[#This Row],[Native American or Alaska Native]]/GoalAsCount_Tbl[[#This Row],[Native American or Alaska Native]])," ")</f>
        <v xml:space="preserve"> </v>
      </c>
      <c r="Q10" s="85" t="str">
        <f>IFERROR(IF(Count_Tbl[[#This Row],[Native American or Alaska Native Male]]/GoalAsCount_Tbl[[#This Row],[Native American or Alaska Native Male]]&gt;=1,1,Count_Tbl[[#This Row],[Native American or Alaska Native Male]]/GoalAsCount_Tbl[[#This Row],[Native American or Alaska Native Male]])," ")</f>
        <v xml:space="preserve"> </v>
      </c>
      <c r="R10" s="85" t="str">
        <f>IFERROR(IF(Count_Tbl[[#This Row],[Native American or Alaska Native Female]]/GoalAsCount_Tbl[[#This Row],[Native American or Alaska Native Female]]&gt;=1,1,Count_Tbl[[#This Row],[Native American or Alaska Native Female]]/GoalAsCount_Tbl[[#This Row],[Native American or Alaska Native Female]])," ")</f>
        <v xml:space="preserve"> </v>
      </c>
      <c r="S10" s="85" t="str">
        <f>IFERROR(IF(Count_Tbl[[#This Row],[White Non-Latinx]]/GoalAsCount_Tbl[[#This Row],[White Non-Latinx]]&gt;=1,1,Count_Tbl[[#This Row],[White Non-Latinx]]/GoalAsCount_Tbl[[#This Row],[White Non-Latinx]])," ")</f>
        <v xml:space="preserve"> </v>
      </c>
      <c r="T10" s="85" t="str">
        <f>IFERROR(IF(Count_Tbl[[#This Row],[White Non-Latinx Male]]/GoalAsCount_Tbl[[#This Row],[White Non-Latinx Male]]&gt;=1,1,Count_Tbl[[#This Row],[White Non-Latinx Male]]/GoalAsCount_Tbl[[#This Row],[White Non-Latinx Male]])," ")</f>
        <v xml:space="preserve"> </v>
      </c>
      <c r="U10" s="85" t="str">
        <f>IFERROR(IF(Count_Tbl[[#This Row],[White Non-Latinx Female]]/GoalAsCount_Tbl[[#This Row],[White Non-Latinx Female]]&gt;=1,1,Count_Tbl[[#This Row],[White Non-Latinx Female]]/GoalAsCount_Tbl[[#This Row],[White Non-Latinx Female]])," ")</f>
        <v xml:space="preserve"> </v>
      </c>
      <c r="V10" s="85" t="str">
        <f>IFERROR(IF(Count_Tbl[[#This Row],[Learners with Disabilities]]/GoalAsCount_Tbl[[#This Row],[Learners with Disabilities]]&gt;=1,1,Count_Tbl[[#This Row],[Learners with Disabilities]]/GoalAsCount_Tbl[[#This Row],[Learners with Disabilities]])," ")</f>
        <v xml:space="preserve"> </v>
      </c>
      <c r="W10" s="85" t="str">
        <f>IFERROR(IF(Count_Tbl[[#This Row],[Learners with Disabilities Male]]/GoalAsCount_Tbl[[#This Row],[Learners with Disabilities Male]]&gt;=1,1,Count_Tbl[[#This Row],[Learners with Disabilities Male]]/GoalAsCount_Tbl[[#This Row],[Learners with Disabilities Male]])," ")</f>
        <v xml:space="preserve"> </v>
      </c>
      <c r="X10" s="85" t="str">
        <f>IFERROR(IF(Count_Tbl[[#This Row],[Learners with Disabilities Female]]/GoalAsCount_Tbl[[#This Row],[Learners with Disabilities Female]]&gt;=1,1,Count_Tbl[[#This Row],[Learners with Disabilities Female]]/GoalAsCount_Tbl[[#This Row],[Learners with Disabilities Female]])," ")</f>
        <v xml:space="preserve"> </v>
      </c>
      <c r="Y10" s="85" t="str">
        <f>IFERROR(IF(Count_Tbl[[#This Row],[Economically Disadvantaged]]/GoalAsCount_Tbl[[#This Row],[Economically Disadvantaged]]&gt;=1,1,Count_Tbl[[#This Row],[Economically Disadvantaged]]/GoalAsCount_Tbl[[#This Row],[Economically Disadvantaged]])," ")</f>
        <v xml:space="preserve"> </v>
      </c>
      <c r="Z10" s="85" t="str">
        <f>IFERROR(IF(Count_Tbl[[#This Row],[Economically Disadvantaged Male]]/GoalAsCount_Tbl[[#This Row],[Economically Disadvantaged Male]]&gt;=1,1,Count_Tbl[[#This Row],[Economically Disadvantaged Male]]/GoalAsCount_Tbl[[#This Row],[Economically Disadvantaged Male]])," ")</f>
        <v xml:space="preserve"> </v>
      </c>
      <c r="AA10" s="85" t="str">
        <f>IFERROR(IF(Count_Tbl[[#This Row],[Economically Disadvantaged Female]]/GoalAsCount_Tbl[[#This Row],[Economically Disadvantaged Female]]&gt;=1,1,Count_Tbl[[#This Row],[Economically Disadvantaged Female]]/GoalAsCount_Tbl[[#This Row],[Economically Disadvantaged Female]])," ")</f>
        <v xml:space="preserve"> </v>
      </c>
      <c r="AB10" s="85" t="str">
        <f>IFERROR(IF(Count_Tbl[[#This Row],[English Learner]]/GoalAsCount_Tbl[[#This Row],[English Learner]]&gt;=1,1,Count_Tbl[[#This Row],[English Learner]]/GoalAsCount_Tbl[[#This Row],[English Learner]])," ")</f>
        <v xml:space="preserve"> </v>
      </c>
      <c r="AC10" s="85" t="str">
        <f>IFERROR(IF(Count_Tbl[[#This Row],[English Learner Male]]/GoalAsCount_Tbl[[#This Row],[English Learner Male]]&gt;=1,1,Count_Tbl[[#This Row],[English Learner Male]]/GoalAsCount_Tbl[[#This Row],[English Learner Male]])," ")</f>
        <v xml:space="preserve"> </v>
      </c>
      <c r="AD10" s="85" t="str">
        <f>IFERROR(IF(Count_Tbl[[#This Row],[English Learner Female]]/GoalAsCount_Tbl[[#This Row],[English Learner Female]]&gt;=1,1,Count_Tbl[[#This Row],[English Learner Female]]/GoalAsCount_Tbl[[#This Row],[English Learner Female]])," ")</f>
        <v xml:space="preserve"> </v>
      </c>
      <c r="AE10" s="85" t="str">
        <f>IFERROR(IF(Count_Tbl[[#This Row],[Migrant]]/GoalAsCount_Tbl[[#This Row],[Migrant]]&gt;=1,1,Count_Tbl[[#This Row],[Migrant]]/GoalAsCount_Tbl[[#This Row],[Migrant]])," ")</f>
        <v xml:space="preserve"> </v>
      </c>
      <c r="AF10" s="85" t="str">
        <f>IFERROR(IF(Count_Tbl[[#This Row],[Migrant Male]]/GoalAsCount_Tbl[[#This Row],[Migrant Male]]&gt;=1,1,Count_Tbl[[#This Row],[Migrant Male]]/GoalAsCount_Tbl[[#This Row],[Migrant Male]])," ")</f>
        <v xml:space="preserve"> </v>
      </c>
      <c r="AG10" s="85" t="str">
        <f>IFERROR(IF(Count_Tbl[[#This Row],[Migrant Female]]/GoalAsCount_Tbl[[#This Row],[Migrant Female]]&gt;=1,1,Count_Tbl[[#This Row],[Migrant Female]]/GoalAsCount_Tbl[[#This Row],[Migrant Female]])," ")</f>
        <v xml:space="preserve"> </v>
      </c>
    </row>
    <row r="11" spans="1:85" ht="15" hidden="1" x14ac:dyDescent="0.15">
      <c r="A11" s="88" t="str">
        <f>Count_Tbl[[#This Row],[Column1]]</f>
        <v>Placement</v>
      </c>
      <c r="B11" s="84" t="str">
        <f>IFERROR(IF(Count_Tbl[[#This Row],[Male]]/GoalAsCount_Tbl[[#This Row],[Male]]&gt;=1,1,Count_Tbl[[#This Row],[Male]]/GoalAsCount_Tbl[[#This Row],[Male]])," ")</f>
        <v xml:space="preserve"> </v>
      </c>
      <c r="C11" s="85" t="str">
        <f>IFERROR(IF(Count_Tbl[[#This Row],[Female]]/GoalAsCount_Tbl[[#This Row],[Female]]&gt;=1,1,Count_Tbl[[#This Row],[Female]]/GoalAsCount_Tbl[[#This Row],[Female]])," ")</f>
        <v xml:space="preserve"> </v>
      </c>
      <c r="D11" s="85" t="str">
        <f>IFERROR(IF(Count_Tbl[[#This Row],[Asian or Pacific Islander]]/GoalAsCount_Tbl[[#This Row],[Asian or Pacific Islander]]&gt;=1,1,Count_Tbl[[#This Row],[Asian or Pacific Islander]]/GoalAsCount_Tbl[[#This Row],[Asian or Pacific Islander]])," ")</f>
        <v xml:space="preserve"> </v>
      </c>
      <c r="E11" s="85" t="str">
        <f>IFERROR(IF(Count_Tbl[[#This Row],[Asian or Pacific Islander Male]]/GoalAsCount_Tbl[[#This Row],[Asian or Pacific Islander Male]]&gt;=1,1,Count_Tbl[[#This Row],[Asian or Pacific Islander Male]]/GoalAsCount_Tbl[[#This Row],[Asian or Pacific Islander Male]])," ")</f>
        <v xml:space="preserve"> </v>
      </c>
      <c r="F11" s="85" t="str">
        <f>IFERROR(IF(Count_Tbl[[#This Row],[Asian or Pacific Islander Female]]/GoalAsCount_Tbl[[#This Row],[Asian or Pacific Islander Female]]&gt;=1,1,Count_Tbl[[#This Row],[Asian or Pacific Islander Female]]/GoalAsCount_Tbl[[#This Row],[Asian or Pacific Islander Female]])," ")</f>
        <v xml:space="preserve"> </v>
      </c>
      <c r="G11" s="85" t="str">
        <f>IFERROR(IF(Count_Tbl[[#This Row],[Black Non-Latinx]]/GoalAsCount_Tbl[[#This Row],[Black Non-Latinx]]&gt;=1,1,Count_Tbl[[#This Row],[Black Non-Latinx]]/GoalAsCount_Tbl[[#This Row],[Black Non-Latinx]])," ")</f>
        <v xml:space="preserve"> </v>
      </c>
      <c r="H11" s="85" t="str">
        <f>IFERROR(IF(Count_Tbl[[#This Row],[Black Non-Latinx Male]]/GoalAsCount_Tbl[[#This Row],[Black Non-Latinx Male]]&gt;=1,1,Count_Tbl[[#This Row],[Black Non-Latinx Male]]/GoalAsCount_Tbl[[#This Row],[Black Non-Latinx Male]])," ")</f>
        <v xml:space="preserve"> </v>
      </c>
      <c r="I11" s="85" t="str">
        <f>IFERROR(IF(Count_Tbl[[#This Row],[Black Non-Latinx Female]]/GoalAsCount_Tbl[[#This Row],[Black Non-Latinx Female]]&gt;=1,1,Count_Tbl[[#This Row],[Black Non-Latinx Female]]/GoalAsCount_Tbl[[#This Row],[Black Non-Latinx Female]])," ")</f>
        <v xml:space="preserve"> </v>
      </c>
      <c r="J11" s="85" t="str">
        <f>IFERROR(IF(Count_Tbl[[#This Row],[Latinx]]/GoalAsCount_Tbl[[#This Row],[Latinx]]&gt;=1,1,Count_Tbl[[#This Row],[Latinx]]/GoalAsCount_Tbl[[#This Row],[Latinx]])," ")</f>
        <v xml:space="preserve"> </v>
      </c>
      <c r="K11" s="85" t="str">
        <f>IFERROR(IF(Count_Tbl[[#This Row],[Latinx Male]]/GoalAsCount_Tbl[[#This Row],[Latinx Male]]&gt;=1,1,Count_Tbl[[#This Row],[Latinx Male]]/GoalAsCount_Tbl[[#This Row],[Latinx Male]])," ")</f>
        <v xml:space="preserve"> </v>
      </c>
      <c r="L11" s="85" t="str">
        <f>IFERROR(IF(Count_Tbl[[#This Row],[Latinx Female]]/GoalAsCount_Tbl[[#This Row],[Latinx Female]]&gt;=1,1,Count_Tbl[[#This Row],[Latinx Female]]/GoalAsCount_Tbl[[#This Row],[Latinx Female]])," ")</f>
        <v xml:space="preserve"> </v>
      </c>
      <c r="M11" s="85" t="str">
        <f>IFERROR(IF(Count_Tbl[[#This Row],[Multiracial]]/GoalAsCount_Tbl[[#This Row],[Multiracial]]&gt;=1,1,Count_Tbl[[#This Row],[Multiracial]]/GoalAsCount_Tbl[[#This Row],[Multiracial]])," ")</f>
        <v xml:space="preserve"> </v>
      </c>
      <c r="N11" s="85" t="str">
        <f>IFERROR(IF(Count_Tbl[[#This Row],[Multiracial Male]]/GoalAsCount_Tbl[[#This Row],[Multiracial Male]]&gt;=1,1,Count_Tbl[[#This Row],[Multiracial Male]]/GoalAsCount_Tbl[[#This Row],[Multiracial Male]])," ")</f>
        <v xml:space="preserve"> </v>
      </c>
      <c r="O11" s="84" t="str">
        <f>IFERROR(IF(Count_Tbl[[#This Row],[Multiracial Female]]/GoalAsCount_Tbl[[#This Row],[Multiracial Female]]&gt;=1,1,Count_Tbl[[#This Row],[Multiracial Female]]/GoalAsCount_Tbl[[#This Row],[Multiracial Female]])," ")</f>
        <v xml:space="preserve"> </v>
      </c>
      <c r="P11" s="85" t="str">
        <f>IFERROR(IF(Count_Tbl[[#This Row],[Native American or Alaska Native]]/GoalAsCount_Tbl[[#This Row],[Native American or Alaska Native]]&gt;=1,1,Count_Tbl[[#This Row],[Native American or Alaska Native]]/GoalAsCount_Tbl[[#This Row],[Native American or Alaska Native]])," ")</f>
        <v xml:space="preserve"> </v>
      </c>
      <c r="Q11" s="85" t="str">
        <f>IFERROR(IF(Count_Tbl[[#This Row],[Native American or Alaska Native Male]]/GoalAsCount_Tbl[[#This Row],[Native American or Alaska Native Male]]&gt;=1,1,Count_Tbl[[#This Row],[Native American or Alaska Native Male]]/GoalAsCount_Tbl[[#This Row],[Native American or Alaska Native Male]])," ")</f>
        <v xml:space="preserve"> </v>
      </c>
      <c r="R11" s="85" t="str">
        <f>IFERROR(IF(Count_Tbl[[#This Row],[Native American or Alaska Native Female]]/GoalAsCount_Tbl[[#This Row],[Native American or Alaska Native Female]]&gt;=1,1,Count_Tbl[[#This Row],[Native American or Alaska Native Female]]/GoalAsCount_Tbl[[#This Row],[Native American or Alaska Native Female]])," ")</f>
        <v xml:space="preserve"> </v>
      </c>
      <c r="S11" s="85" t="str">
        <f>IFERROR(IF(Count_Tbl[[#This Row],[White Non-Latinx]]/GoalAsCount_Tbl[[#This Row],[White Non-Latinx]]&gt;=1,1,Count_Tbl[[#This Row],[White Non-Latinx]]/GoalAsCount_Tbl[[#This Row],[White Non-Latinx]])," ")</f>
        <v xml:space="preserve"> </v>
      </c>
      <c r="T11" s="85" t="str">
        <f>IFERROR(IF(Count_Tbl[[#This Row],[White Non-Latinx Male]]/GoalAsCount_Tbl[[#This Row],[White Non-Latinx Male]]&gt;=1,1,Count_Tbl[[#This Row],[White Non-Latinx Male]]/GoalAsCount_Tbl[[#This Row],[White Non-Latinx Male]])," ")</f>
        <v xml:space="preserve"> </v>
      </c>
      <c r="U11" s="85" t="str">
        <f>IFERROR(IF(Count_Tbl[[#This Row],[White Non-Latinx Female]]/GoalAsCount_Tbl[[#This Row],[White Non-Latinx Female]]&gt;=1,1,Count_Tbl[[#This Row],[White Non-Latinx Female]]/GoalAsCount_Tbl[[#This Row],[White Non-Latinx Female]])," ")</f>
        <v xml:space="preserve"> </v>
      </c>
      <c r="V11" s="85" t="str">
        <f>IFERROR(IF(Count_Tbl[[#This Row],[Learners with Disabilities]]/GoalAsCount_Tbl[[#This Row],[Learners with Disabilities]]&gt;=1,1,Count_Tbl[[#This Row],[Learners with Disabilities]]/GoalAsCount_Tbl[[#This Row],[Learners with Disabilities]])," ")</f>
        <v xml:space="preserve"> </v>
      </c>
      <c r="W11" s="85" t="str">
        <f>IFERROR(IF(Count_Tbl[[#This Row],[Learners with Disabilities Male]]/GoalAsCount_Tbl[[#This Row],[Learners with Disabilities Male]]&gt;=1,1,Count_Tbl[[#This Row],[Learners with Disabilities Male]]/GoalAsCount_Tbl[[#This Row],[Learners with Disabilities Male]])," ")</f>
        <v xml:space="preserve"> </v>
      </c>
      <c r="X11" s="85" t="str">
        <f>IFERROR(IF(Count_Tbl[[#This Row],[Learners with Disabilities Female]]/GoalAsCount_Tbl[[#This Row],[Learners with Disabilities Female]]&gt;=1,1,Count_Tbl[[#This Row],[Learners with Disabilities Female]]/GoalAsCount_Tbl[[#This Row],[Learners with Disabilities Female]])," ")</f>
        <v xml:space="preserve"> </v>
      </c>
      <c r="Y11" s="85" t="str">
        <f>IFERROR(IF(Count_Tbl[[#This Row],[Economically Disadvantaged]]/GoalAsCount_Tbl[[#This Row],[Economically Disadvantaged]]&gt;=1,1,Count_Tbl[[#This Row],[Economically Disadvantaged]]/GoalAsCount_Tbl[[#This Row],[Economically Disadvantaged]])," ")</f>
        <v xml:space="preserve"> </v>
      </c>
      <c r="Z11" s="85" t="str">
        <f>IFERROR(IF(Count_Tbl[[#This Row],[Economically Disadvantaged Male]]/GoalAsCount_Tbl[[#This Row],[Economically Disadvantaged Male]]&gt;=1,1,Count_Tbl[[#This Row],[Economically Disadvantaged Male]]/GoalAsCount_Tbl[[#This Row],[Economically Disadvantaged Male]])," ")</f>
        <v xml:space="preserve"> </v>
      </c>
      <c r="AA11" s="85" t="str">
        <f>IFERROR(IF(Count_Tbl[[#This Row],[Economically Disadvantaged Female]]/GoalAsCount_Tbl[[#This Row],[Economically Disadvantaged Female]]&gt;=1,1,Count_Tbl[[#This Row],[Economically Disadvantaged Female]]/GoalAsCount_Tbl[[#This Row],[Economically Disadvantaged Female]])," ")</f>
        <v xml:space="preserve"> </v>
      </c>
      <c r="AB11" s="85" t="str">
        <f>IFERROR(IF(Count_Tbl[[#This Row],[English Learner]]/GoalAsCount_Tbl[[#This Row],[English Learner]]&gt;=1,1,Count_Tbl[[#This Row],[English Learner]]/GoalAsCount_Tbl[[#This Row],[English Learner]])," ")</f>
        <v xml:space="preserve"> </v>
      </c>
      <c r="AC11" s="85" t="str">
        <f>IFERROR(IF(Count_Tbl[[#This Row],[English Learner Male]]/GoalAsCount_Tbl[[#This Row],[English Learner Male]]&gt;=1,1,Count_Tbl[[#This Row],[English Learner Male]]/GoalAsCount_Tbl[[#This Row],[English Learner Male]])," ")</f>
        <v xml:space="preserve"> </v>
      </c>
      <c r="AD11" s="85" t="str">
        <f>IFERROR(IF(Count_Tbl[[#This Row],[English Learner Female]]/GoalAsCount_Tbl[[#This Row],[English Learner Female]]&gt;=1,1,Count_Tbl[[#This Row],[English Learner Female]]/GoalAsCount_Tbl[[#This Row],[English Learner Female]])," ")</f>
        <v xml:space="preserve"> </v>
      </c>
      <c r="AE11" s="85" t="str">
        <f>IFERROR(IF(Count_Tbl[[#This Row],[Migrant]]/GoalAsCount_Tbl[[#This Row],[Migrant]]&gt;=1,1,Count_Tbl[[#This Row],[Migrant]]/GoalAsCount_Tbl[[#This Row],[Migrant]])," ")</f>
        <v xml:space="preserve"> </v>
      </c>
      <c r="AF11" s="85" t="str">
        <f>IFERROR(IF(Count_Tbl[[#This Row],[Migrant Male]]/GoalAsCount_Tbl[[#This Row],[Migrant Male]]&gt;=1,1,Count_Tbl[[#This Row],[Migrant Male]]/GoalAsCount_Tbl[[#This Row],[Migrant Male]])," ")</f>
        <v xml:space="preserve"> </v>
      </c>
      <c r="AG11" s="85" t="str">
        <f>IFERROR(IF(Count_Tbl[[#This Row],[Migrant Female]]/GoalAsCount_Tbl[[#This Row],[Migrant Female]]&gt;=1,1,Count_Tbl[[#This Row],[Migrant Female]]/GoalAsCount_Tbl[[#This Row],[Migrant Female]])," ")</f>
        <v xml:space="preserve"> </v>
      </c>
    </row>
    <row r="12" spans="1:85" ht="15" hidden="1" x14ac:dyDescent="0.15">
      <c r="A12" s="88" t="str">
        <f>Count_Tbl[[#This Row],[Column1]]</f>
        <v>HWHD Placement</v>
      </c>
      <c r="B12" s="84" t="str">
        <f>IFERROR(IF(Count_Tbl[[#This Row],[Male]]/GoalAsCount_Tbl[[#This Row],[Male]]&gt;=1,1,Count_Tbl[[#This Row],[Male]]/GoalAsCount_Tbl[[#This Row],[Male]])," ")</f>
        <v xml:space="preserve"> </v>
      </c>
      <c r="C12" s="85" t="str">
        <f>IFERROR(IF(Count_Tbl[[#This Row],[Female]]/GoalAsCount_Tbl[[#This Row],[Female]]&gt;=1,1,Count_Tbl[[#This Row],[Female]]/GoalAsCount_Tbl[[#This Row],[Female]])," ")</f>
        <v xml:space="preserve"> </v>
      </c>
      <c r="D12" s="85" t="str">
        <f>IFERROR(IF(Count_Tbl[[#This Row],[Asian or Pacific Islander]]/GoalAsCount_Tbl[[#This Row],[Asian or Pacific Islander]]&gt;=1,1,Count_Tbl[[#This Row],[Asian or Pacific Islander]]/GoalAsCount_Tbl[[#This Row],[Asian or Pacific Islander]])," ")</f>
        <v xml:space="preserve"> </v>
      </c>
      <c r="E12" s="85" t="str">
        <f>IFERROR(IF(Count_Tbl[[#This Row],[Asian or Pacific Islander Male]]/GoalAsCount_Tbl[[#This Row],[Asian or Pacific Islander Male]]&gt;=1,1,Count_Tbl[[#This Row],[Asian or Pacific Islander Male]]/GoalAsCount_Tbl[[#This Row],[Asian or Pacific Islander Male]])," ")</f>
        <v xml:space="preserve"> </v>
      </c>
      <c r="F12" s="85" t="str">
        <f>IFERROR(IF(Count_Tbl[[#This Row],[Asian or Pacific Islander Female]]/GoalAsCount_Tbl[[#This Row],[Asian or Pacific Islander Female]]&gt;=1,1,Count_Tbl[[#This Row],[Asian or Pacific Islander Female]]/GoalAsCount_Tbl[[#This Row],[Asian or Pacific Islander Female]])," ")</f>
        <v xml:space="preserve"> </v>
      </c>
      <c r="G12" s="85" t="str">
        <f>IFERROR(IF(Count_Tbl[[#This Row],[Black Non-Latinx]]/GoalAsCount_Tbl[[#This Row],[Black Non-Latinx]]&gt;=1,1,Count_Tbl[[#This Row],[Black Non-Latinx]]/GoalAsCount_Tbl[[#This Row],[Black Non-Latinx]])," ")</f>
        <v xml:space="preserve"> </v>
      </c>
      <c r="H12" s="85" t="str">
        <f>IFERROR(IF(Count_Tbl[[#This Row],[Black Non-Latinx Male]]/GoalAsCount_Tbl[[#This Row],[Black Non-Latinx Male]]&gt;=1,1,Count_Tbl[[#This Row],[Black Non-Latinx Male]]/GoalAsCount_Tbl[[#This Row],[Black Non-Latinx Male]])," ")</f>
        <v xml:space="preserve"> </v>
      </c>
      <c r="I12" s="85" t="str">
        <f>IFERROR(IF(Count_Tbl[[#This Row],[Black Non-Latinx Female]]/GoalAsCount_Tbl[[#This Row],[Black Non-Latinx Female]]&gt;=1,1,Count_Tbl[[#This Row],[Black Non-Latinx Female]]/GoalAsCount_Tbl[[#This Row],[Black Non-Latinx Female]])," ")</f>
        <v xml:space="preserve"> </v>
      </c>
      <c r="J12" s="85" t="str">
        <f>IFERROR(IF(Count_Tbl[[#This Row],[Latinx]]/GoalAsCount_Tbl[[#This Row],[Latinx]]&gt;=1,1,Count_Tbl[[#This Row],[Latinx]]/GoalAsCount_Tbl[[#This Row],[Latinx]])," ")</f>
        <v xml:space="preserve"> </v>
      </c>
      <c r="K12" s="85" t="str">
        <f>IFERROR(IF(Count_Tbl[[#This Row],[Latinx Male]]/GoalAsCount_Tbl[[#This Row],[Latinx Male]]&gt;=1,1,Count_Tbl[[#This Row],[Latinx Male]]/GoalAsCount_Tbl[[#This Row],[Latinx Male]])," ")</f>
        <v xml:space="preserve"> </v>
      </c>
      <c r="L12" s="85" t="str">
        <f>IFERROR(IF(Count_Tbl[[#This Row],[Latinx Female]]/GoalAsCount_Tbl[[#This Row],[Latinx Female]]&gt;=1,1,Count_Tbl[[#This Row],[Latinx Female]]/GoalAsCount_Tbl[[#This Row],[Latinx Female]])," ")</f>
        <v xml:space="preserve"> </v>
      </c>
      <c r="M12" s="85" t="str">
        <f>IFERROR(IF(Count_Tbl[[#This Row],[Multiracial]]/GoalAsCount_Tbl[[#This Row],[Multiracial]]&gt;=1,1,Count_Tbl[[#This Row],[Multiracial]]/GoalAsCount_Tbl[[#This Row],[Multiracial]])," ")</f>
        <v xml:space="preserve"> </v>
      </c>
      <c r="N12" s="85" t="str">
        <f>IFERROR(IF(Count_Tbl[[#This Row],[Multiracial Male]]/GoalAsCount_Tbl[[#This Row],[Multiracial Male]]&gt;=1,1,Count_Tbl[[#This Row],[Multiracial Male]]/GoalAsCount_Tbl[[#This Row],[Multiracial Male]])," ")</f>
        <v xml:space="preserve"> </v>
      </c>
      <c r="O12" s="85" t="str">
        <f>IFERROR(IF(Count_Tbl[[#This Row],[Multiracial Female]]/GoalAsCount_Tbl[[#This Row],[Multiracial Female]]&gt;=1,1,Count_Tbl[[#This Row],[Multiracial Female]]/GoalAsCount_Tbl[[#This Row],[Multiracial Female]])," ")</f>
        <v xml:space="preserve"> </v>
      </c>
      <c r="P12" s="85" t="str">
        <f>IFERROR(IF(Count_Tbl[[#This Row],[Native American or Alaska Native]]/GoalAsCount_Tbl[[#This Row],[Native American or Alaska Native]]&gt;=1,1,Count_Tbl[[#This Row],[Native American or Alaska Native]]/GoalAsCount_Tbl[[#This Row],[Native American or Alaska Native]])," ")</f>
        <v xml:space="preserve"> </v>
      </c>
      <c r="Q12" s="85" t="str">
        <f>IFERROR(IF(Count_Tbl[[#This Row],[Native American or Alaska Native Male]]/GoalAsCount_Tbl[[#This Row],[Native American or Alaska Native Male]]&gt;=1,1,Count_Tbl[[#This Row],[Native American or Alaska Native Male]]/GoalAsCount_Tbl[[#This Row],[Native American or Alaska Native Male]])," ")</f>
        <v xml:space="preserve"> </v>
      </c>
      <c r="R12" s="85" t="str">
        <f>IFERROR(IF(Count_Tbl[[#This Row],[Native American or Alaska Native Female]]/GoalAsCount_Tbl[[#This Row],[Native American or Alaska Native Female]]&gt;=1,1,Count_Tbl[[#This Row],[Native American or Alaska Native Female]]/GoalAsCount_Tbl[[#This Row],[Native American or Alaska Native Female]])," ")</f>
        <v xml:space="preserve"> </v>
      </c>
      <c r="S12" s="85" t="str">
        <f>IFERROR(IF(Count_Tbl[[#This Row],[White Non-Latinx]]/GoalAsCount_Tbl[[#This Row],[White Non-Latinx]]&gt;=1,1,Count_Tbl[[#This Row],[White Non-Latinx]]/GoalAsCount_Tbl[[#This Row],[White Non-Latinx]])," ")</f>
        <v xml:space="preserve"> </v>
      </c>
      <c r="T12" s="85" t="str">
        <f>IFERROR(IF(Count_Tbl[[#This Row],[White Non-Latinx Male]]/GoalAsCount_Tbl[[#This Row],[White Non-Latinx Male]]&gt;=1,1,Count_Tbl[[#This Row],[White Non-Latinx Male]]/GoalAsCount_Tbl[[#This Row],[White Non-Latinx Male]])," ")</f>
        <v xml:space="preserve"> </v>
      </c>
      <c r="U12" s="85" t="str">
        <f>IFERROR(IF(Count_Tbl[[#This Row],[White Non-Latinx Female]]/GoalAsCount_Tbl[[#This Row],[White Non-Latinx Female]]&gt;=1,1,Count_Tbl[[#This Row],[White Non-Latinx Female]]/GoalAsCount_Tbl[[#This Row],[White Non-Latinx Female]])," ")</f>
        <v xml:space="preserve"> </v>
      </c>
      <c r="V12" s="85" t="str">
        <f>IFERROR(IF(Count_Tbl[[#This Row],[Learners with Disabilities]]/GoalAsCount_Tbl[[#This Row],[Learners with Disabilities]]&gt;=1,1,Count_Tbl[[#This Row],[Learners with Disabilities]]/GoalAsCount_Tbl[[#This Row],[Learners with Disabilities]])," ")</f>
        <v xml:space="preserve"> </v>
      </c>
      <c r="W12" s="85" t="str">
        <f>IFERROR(IF(Count_Tbl[[#This Row],[Learners with Disabilities Male]]/GoalAsCount_Tbl[[#This Row],[Learners with Disabilities Male]]&gt;=1,1,Count_Tbl[[#This Row],[Learners with Disabilities Male]]/GoalAsCount_Tbl[[#This Row],[Learners with Disabilities Male]])," ")</f>
        <v xml:space="preserve"> </v>
      </c>
      <c r="X12" s="85" t="str">
        <f>IFERROR(IF(Count_Tbl[[#This Row],[Learners with Disabilities Female]]/GoalAsCount_Tbl[[#This Row],[Learners with Disabilities Female]]&gt;=1,1,Count_Tbl[[#This Row],[Learners with Disabilities Female]]/GoalAsCount_Tbl[[#This Row],[Learners with Disabilities Female]])," ")</f>
        <v xml:space="preserve"> </v>
      </c>
      <c r="Y12" s="85" t="str">
        <f>IFERROR(IF(Count_Tbl[[#This Row],[Economically Disadvantaged]]/GoalAsCount_Tbl[[#This Row],[Economically Disadvantaged]]&gt;=1,1,Count_Tbl[[#This Row],[Economically Disadvantaged]]/GoalAsCount_Tbl[[#This Row],[Economically Disadvantaged]])," ")</f>
        <v xml:space="preserve"> </v>
      </c>
      <c r="Z12" s="85" t="str">
        <f>IFERROR(IF(Count_Tbl[[#This Row],[Economically Disadvantaged Male]]/GoalAsCount_Tbl[[#This Row],[Economically Disadvantaged Male]]&gt;=1,1,Count_Tbl[[#This Row],[Economically Disadvantaged Male]]/GoalAsCount_Tbl[[#This Row],[Economically Disadvantaged Male]])," ")</f>
        <v xml:space="preserve"> </v>
      </c>
      <c r="AA12" s="85" t="str">
        <f>IFERROR(IF(Count_Tbl[[#This Row],[Economically Disadvantaged Female]]/GoalAsCount_Tbl[[#This Row],[Economically Disadvantaged Female]]&gt;=1,1,Count_Tbl[[#This Row],[Economically Disadvantaged Female]]/GoalAsCount_Tbl[[#This Row],[Economically Disadvantaged Female]])," ")</f>
        <v xml:space="preserve"> </v>
      </c>
      <c r="AB12" s="85" t="str">
        <f>IFERROR(IF(Count_Tbl[[#This Row],[English Learner]]/GoalAsCount_Tbl[[#This Row],[English Learner]]&gt;=1,1,Count_Tbl[[#This Row],[English Learner]]/GoalAsCount_Tbl[[#This Row],[English Learner]])," ")</f>
        <v xml:space="preserve"> </v>
      </c>
      <c r="AC12" s="85" t="str">
        <f>IFERROR(IF(Count_Tbl[[#This Row],[English Learner Male]]/GoalAsCount_Tbl[[#This Row],[English Learner Male]]&gt;=1,1,Count_Tbl[[#This Row],[English Learner Male]]/GoalAsCount_Tbl[[#This Row],[English Learner Male]])," ")</f>
        <v xml:space="preserve"> </v>
      </c>
      <c r="AD12" s="85" t="str">
        <f>IFERROR(IF(Count_Tbl[[#This Row],[English Learner Female]]/GoalAsCount_Tbl[[#This Row],[English Learner Female]]&gt;=1,1,Count_Tbl[[#This Row],[English Learner Female]]/GoalAsCount_Tbl[[#This Row],[English Learner Female]])," ")</f>
        <v xml:space="preserve"> </v>
      </c>
      <c r="AE12" s="85" t="str">
        <f>IFERROR(IF(Count_Tbl[[#This Row],[Migrant]]/GoalAsCount_Tbl[[#This Row],[Migrant]]&gt;=1,1,Count_Tbl[[#This Row],[Migrant]]/GoalAsCount_Tbl[[#This Row],[Migrant]])," ")</f>
        <v xml:space="preserve"> </v>
      </c>
      <c r="AF12" s="85" t="str">
        <f>IFERROR(IF(Count_Tbl[[#This Row],[Migrant Male]]/GoalAsCount_Tbl[[#This Row],[Migrant Male]]&gt;=1,1,Count_Tbl[[#This Row],[Migrant Male]]/GoalAsCount_Tbl[[#This Row],[Migrant Male]])," ")</f>
        <v xml:space="preserve"> </v>
      </c>
      <c r="AG12" s="85" t="str">
        <f>IFERROR(IF(Count_Tbl[[#This Row],[Migrant Female]]/GoalAsCount_Tbl[[#This Row],[Migrant Female]]&gt;=1,1,Count_Tbl[[#This Row],[Migrant Female]]/GoalAsCount_Tbl[[#This Row],[Migrant Female]])," ")</f>
        <v xml:space="preserve"> </v>
      </c>
    </row>
    <row r="13" spans="1:85" ht="15" hidden="1" x14ac:dyDescent="0.15">
      <c r="A13" s="88" t="str">
        <f>Count_Tbl[[#This Row],[Column1]]</f>
        <v>Wages</v>
      </c>
      <c r="B13" s="84" t="str">
        <f>IFERROR(IF(Count_Tbl[[#This Row],[Male]]/GoalAsCount_Tbl[[#This Row],[Male]]&gt;=1,1,Count_Tbl[[#This Row],[Male]]/GoalAsCount_Tbl[[#This Row],[Male]])," ")</f>
        <v xml:space="preserve"> </v>
      </c>
      <c r="C13" s="85" t="str">
        <f>IFERROR(IF(Count_Tbl[[#This Row],[Female]]/GoalAsCount_Tbl[[#This Row],[Female]]&gt;=1,1,Count_Tbl[[#This Row],[Female]]/GoalAsCount_Tbl[[#This Row],[Female]])," ")</f>
        <v xml:space="preserve"> </v>
      </c>
      <c r="D13" s="85" t="str">
        <f>IFERROR(IF(Count_Tbl[[#This Row],[Asian or Pacific Islander]]/GoalAsCount_Tbl[[#This Row],[Asian or Pacific Islander]]&gt;=1,1,Count_Tbl[[#This Row],[Asian or Pacific Islander]]/GoalAsCount_Tbl[[#This Row],[Asian or Pacific Islander]])," ")</f>
        <v xml:space="preserve"> </v>
      </c>
      <c r="E13" s="85" t="str">
        <f>IFERROR(IF(Count_Tbl[[#This Row],[Asian or Pacific Islander Male]]/GoalAsCount_Tbl[[#This Row],[Asian or Pacific Islander Male]]&gt;=1,1,Count_Tbl[[#This Row],[Asian or Pacific Islander Male]]/GoalAsCount_Tbl[[#This Row],[Asian or Pacific Islander Male]])," ")</f>
        <v xml:space="preserve"> </v>
      </c>
      <c r="F13" s="85" t="str">
        <f>IFERROR(IF(Count_Tbl[[#This Row],[Asian or Pacific Islander Female]]/GoalAsCount_Tbl[[#This Row],[Asian or Pacific Islander Female]]&gt;=1,1,Count_Tbl[[#This Row],[Asian or Pacific Islander Female]]/GoalAsCount_Tbl[[#This Row],[Asian or Pacific Islander Female]])," ")</f>
        <v xml:space="preserve"> </v>
      </c>
      <c r="G13" s="85" t="str">
        <f>IFERROR(IF(Count_Tbl[[#This Row],[Black Non-Latinx]]/GoalAsCount_Tbl[[#This Row],[Black Non-Latinx]]&gt;=1,1,Count_Tbl[[#This Row],[Black Non-Latinx]]/GoalAsCount_Tbl[[#This Row],[Black Non-Latinx]])," ")</f>
        <v xml:space="preserve"> </v>
      </c>
      <c r="H13" s="85" t="str">
        <f>IFERROR(IF(Count_Tbl[[#This Row],[Black Non-Latinx Male]]/GoalAsCount_Tbl[[#This Row],[Black Non-Latinx Male]]&gt;=1,1,Count_Tbl[[#This Row],[Black Non-Latinx Male]]/GoalAsCount_Tbl[[#This Row],[Black Non-Latinx Male]])," ")</f>
        <v xml:space="preserve"> </v>
      </c>
      <c r="I13" s="85" t="str">
        <f>IFERROR(IF(Count_Tbl[[#This Row],[Black Non-Latinx Female]]/GoalAsCount_Tbl[[#This Row],[Black Non-Latinx Female]]&gt;=1,1,Count_Tbl[[#This Row],[Black Non-Latinx Female]]/GoalAsCount_Tbl[[#This Row],[Black Non-Latinx Female]])," ")</f>
        <v xml:space="preserve"> </v>
      </c>
      <c r="J13" s="85" t="str">
        <f>IFERROR(IF(Count_Tbl[[#This Row],[Latinx]]/GoalAsCount_Tbl[[#This Row],[Latinx]]&gt;=1,1,Count_Tbl[[#This Row],[Latinx]]/GoalAsCount_Tbl[[#This Row],[Latinx]])," ")</f>
        <v xml:space="preserve"> </v>
      </c>
      <c r="K13" s="85" t="str">
        <f>IFERROR(IF(Count_Tbl[[#This Row],[Latinx Male]]/GoalAsCount_Tbl[[#This Row],[Latinx Male]]&gt;=1,1,Count_Tbl[[#This Row],[Latinx Male]]/GoalAsCount_Tbl[[#This Row],[Latinx Male]])," ")</f>
        <v xml:space="preserve"> </v>
      </c>
      <c r="L13" s="85" t="str">
        <f>IFERROR(IF(Count_Tbl[[#This Row],[Latinx Female]]/GoalAsCount_Tbl[[#This Row],[Latinx Female]]&gt;=1,1,Count_Tbl[[#This Row],[Latinx Female]]/GoalAsCount_Tbl[[#This Row],[Latinx Female]])," ")</f>
        <v xml:space="preserve"> </v>
      </c>
      <c r="M13" s="85" t="str">
        <f>IFERROR(IF(Count_Tbl[[#This Row],[Multiracial]]/GoalAsCount_Tbl[[#This Row],[Multiracial]]&gt;=1,1,Count_Tbl[[#This Row],[Multiracial]]/GoalAsCount_Tbl[[#This Row],[Multiracial]])," ")</f>
        <v xml:space="preserve"> </v>
      </c>
      <c r="N13" s="85" t="str">
        <f>IFERROR(IF(Count_Tbl[[#This Row],[Multiracial Male]]/GoalAsCount_Tbl[[#This Row],[Multiracial Male]]&gt;=1,1,Count_Tbl[[#This Row],[Multiracial Male]]/GoalAsCount_Tbl[[#This Row],[Multiracial Male]])," ")</f>
        <v xml:space="preserve"> </v>
      </c>
      <c r="O13" s="85" t="str">
        <f>IFERROR(IF(Count_Tbl[[#This Row],[Multiracial Female]]/GoalAsCount_Tbl[[#This Row],[Multiracial Female]]&gt;=1,1,Count_Tbl[[#This Row],[Multiracial Female]]/GoalAsCount_Tbl[[#This Row],[Multiracial Female]])," ")</f>
        <v xml:space="preserve"> </v>
      </c>
      <c r="P13" s="85" t="str">
        <f>IFERROR(IF(Count_Tbl[[#This Row],[Native American or Alaska Native]]/GoalAsCount_Tbl[[#This Row],[Native American or Alaska Native]]&gt;=1,1,Count_Tbl[[#This Row],[Native American or Alaska Native]]/GoalAsCount_Tbl[[#This Row],[Native American or Alaska Native]])," ")</f>
        <v xml:space="preserve"> </v>
      </c>
      <c r="Q13" s="85" t="str">
        <f>IFERROR(IF(Count_Tbl[[#This Row],[Native American or Alaska Native Male]]/GoalAsCount_Tbl[[#This Row],[Native American or Alaska Native Male]]&gt;=1,1,Count_Tbl[[#This Row],[Native American or Alaska Native Male]]/GoalAsCount_Tbl[[#This Row],[Native American or Alaska Native Male]])," ")</f>
        <v xml:space="preserve"> </v>
      </c>
      <c r="R13" s="85" t="str">
        <f>IFERROR(IF(Count_Tbl[[#This Row],[Native American or Alaska Native Female]]/GoalAsCount_Tbl[[#This Row],[Native American or Alaska Native Female]]&gt;=1,1,Count_Tbl[[#This Row],[Native American or Alaska Native Female]]/GoalAsCount_Tbl[[#This Row],[Native American or Alaska Native Female]])," ")</f>
        <v xml:space="preserve"> </v>
      </c>
      <c r="S13" s="85" t="str">
        <f>IFERROR(IF(Count_Tbl[[#This Row],[White Non-Latinx]]/GoalAsCount_Tbl[[#This Row],[White Non-Latinx]]&gt;=1,1,Count_Tbl[[#This Row],[White Non-Latinx]]/GoalAsCount_Tbl[[#This Row],[White Non-Latinx]])," ")</f>
        <v xml:space="preserve"> </v>
      </c>
      <c r="T13" s="85" t="str">
        <f>IFERROR(IF(Count_Tbl[[#This Row],[White Non-Latinx Male]]/GoalAsCount_Tbl[[#This Row],[White Non-Latinx Male]]&gt;=1,1,Count_Tbl[[#This Row],[White Non-Latinx Male]]/GoalAsCount_Tbl[[#This Row],[White Non-Latinx Male]])," ")</f>
        <v xml:space="preserve"> </v>
      </c>
      <c r="U13" s="85" t="str">
        <f>IFERROR(IF(Count_Tbl[[#This Row],[White Non-Latinx Female]]/GoalAsCount_Tbl[[#This Row],[White Non-Latinx Female]]&gt;=1,1,Count_Tbl[[#This Row],[White Non-Latinx Female]]/GoalAsCount_Tbl[[#This Row],[White Non-Latinx Female]])," ")</f>
        <v xml:space="preserve"> </v>
      </c>
      <c r="V13" s="85" t="str">
        <f>IFERROR(IF(Count_Tbl[[#This Row],[Learners with Disabilities]]/GoalAsCount_Tbl[[#This Row],[Learners with Disabilities]]&gt;=1,1,Count_Tbl[[#This Row],[Learners with Disabilities]]/GoalAsCount_Tbl[[#This Row],[Learners with Disabilities]])," ")</f>
        <v xml:space="preserve"> </v>
      </c>
      <c r="W13" s="85" t="str">
        <f>IFERROR(IF(Count_Tbl[[#This Row],[Learners with Disabilities Male]]/GoalAsCount_Tbl[[#This Row],[Learners with Disabilities Male]]&gt;=1,1,Count_Tbl[[#This Row],[Learners with Disabilities Male]]/GoalAsCount_Tbl[[#This Row],[Learners with Disabilities Male]])," ")</f>
        <v xml:space="preserve"> </v>
      </c>
      <c r="X13" s="85" t="str">
        <f>IFERROR(IF(Count_Tbl[[#This Row],[Learners with Disabilities Female]]/GoalAsCount_Tbl[[#This Row],[Learners with Disabilities Female]]&gt;=1,1,Count_Tbl[[#This Row],[Learners with Disabilities Female]]/GoalAsCount_Tbl[[#This Row],[Learners with Disabilities Female]])," ")</f>
        <v xml:space="preserve"> </v>
      </c>
      <c r="Y13" s="85" t="str">
        <f>IFERROR(IF(Count_Tbl[[#This Row],[Economically Disadvantaged]]/GoalAsCount_Tbl[[#This Row],[Economically Disadvantaged]]&gt;=1,1,Count_Tbl[[#This Row],[Economically Disadvantaged]]/GoalAsCount_Tbl[[#This Row],[Economically Disadvantaged]])," ")</f>
        <v xml:space="preserve"> </v>
      </c>
      <c r="Z13" s="85" t="str">
        <f>IFERROR(IF(Count_Tbl[[#This Row],[Economically Disadvantaged Male]]/GoalAsCount_Tbl[[#This Row],[Economically Disadvantaged Male]]&gt;=1,1,Count_Tbl[[#This Row],[Economically Disadvantaged Male]]/GoalAsCount_Tbl[[#This Row],[Economically Disadvantaged Male]])," ")</f>
        <v xml:space="preserve"> </v>
      </c>
      <c r="AA13" s="85" t="str">
        <f>IFERROR(IF(Count_Tbl[[#This Row],[Economically Disadvantaged Female]]/GoalAsCount_Tbl[[#This Row],[Economically Disadvantaged Female]]&gt;=1,1,Count_Tbl[[#This Row],[Economically Disadvantaged Female]]/GoalAsCount_Tbl[[#This Row],[Economically Disadvantaged Female]])," ")</f>
        <v xml:space="preserve"> </v>
      </c>
      <c r="AB13" s="85" t="str">
        <f>IFERROR(IF(Count_Tbl[[#This Row],[English Learner]]/GoalAsCount_Tbl[[#This Row],[English Learner]]&gt;=1,1,Count_Tbl[[#This Row],[English Learner]]/GoalAsCount_Tbl[[#This Row],[English Learner]])," ")</f>
        <v xml:space="preserve"> </v>
      </c>
      <c r="AC13" s="85" t="str">
        <f>IFERROR(IF(Count_Tbl[[#This Row],[English Learner Male]]/GoalAsCount_Tbl[[#This Row],[English Learner Male]]&gt;=1,1,Count_Tbl[[#This Row],[English Learner Male]]/GoalAsCount_Tbl[[#This Row],[English Learner Male]])," ")</f>
        <v xml:space="preserve"> </v>
      </c>
      <c r="AD13" s="85" t="str">
        <f>IFERROR(IF(Count_Tbl[[#This Row],[English Learner Female]]/GoalAsCount_Tbl[[#This Row],[English Learner Female]]&gt;=1,1,Count_Tbl[[#This Row],[English Learner Female]]/GoalAsCount_Tbl[[#This Row],[English Learner Female]])," ")</f>
        <v xml:space="preserve"> </v>
      </c>
      <c r="AE13" s="85" t="str">
        <f>IFERROR(IF(Count_Tbl[[#This Row],[Migrant]]/GoalAsCount_Tbl[[#This Row],[Migrant]]&gt;=1,1,Count_Tbl[[#This Row],[Migrant]]/GoalAsCount_Tbl[[#This Row],[Migrant]])," ")</f>
        <v xml:space="preserve"> </v>
      </c>
      <c r="AF13" s="85" t="str">
        <f>IFERROR(IF(Count_Tbl[[#This Row],[Migrant Male]]/GoalAsCount_Tbl[[#This Row],[Migrant Male]]&gt;=1,1,Count_Tbl[[#This Row],[Migrant Male]]/GoalAsCount_Tbl[[#This Row],[Migrant Male]])," ")</f>
        <v xml:space="preserve"> </v>
      </c>
      <c r="AG13" s="85" t="str">
        <f>IFERROR(IF(Count_Tbl[[#This Row],[Migrant Female]]/GoalAsCount_Tbl[[#This Row],[Migrant Female]]&gt;=1,1,Count_Tbl[[#This Row],[Migrant Female]]/GoalAsCount_Tbl[[#This Row],[Migrant Female]])," ")</f>
        <v xml:space="preserve"> </v>
      </c>
    </row>
    <row r="14" spans="1:85" ht="15" hidden="1" x14ac:dyDescent="0.15">
      <c r="A14" s="88" t="str">
        <f>Count_Tbl[[#This Row],[Column1]]</f>
        <v>HWHD Wages</v>
      </c>
      <c r="B14" s="84" t="str">
        <f>IFERROR(IF(Count_Tbl[[#This Row],[Male]]/GoalAsCount_Tbl[[#This Row],[Male]]&gt;=1,1,Count_Tbl[[#This Row],[Male]]/GoalAsCount_Tbl[[#This Row],[Male]])," ")</f>
        <v xml:space="preserve"> </v>
      </c>
      <c r="C14" s="85" t="str">
        <f>IFERROR(IF(Count_Tbl[[#This Row],[Female]]/GoalAsCount_Tbl[[#This Row],[Female]]&gt;=1,1,Count_Tbl[[#This Row],[Female]]/GoalAsCount_Tbl[[#This Row],[Female]])," ")</f>
        <v xml:space="preserve"> </v>
      </c>
      <c r="D14" s="85" t="str">
        <f>IFERROR(IF(Count_Tbl[[#This Row],[Asian or Pacific Islander]]/GoalAsCount_Tbl[[#This Row],[Asian or Pacific Islander]]&gt;=1,1,Count_Tbl[[#This Row],[Asian or Pacific Islander]]/GoalAsCount_Tbl[[#This Row],[Asian or Pacific Islander]])," ")</f>
        <v xml:space="preserve"> </v>
      </c>
      <c r="E14" s="85" t="str">
        <f>IFERROR(IF(Count_Tbl[[#This Row],[Asian or Pacific Islander Male]]/GoalAsCount_Tbl[[#This Row],[Asian or Pacific Islander Male]]&gt;=1,1,Count_Tbl[[#This Row],[Asian or Pacific Islander Male]]/GoalAsCount_Tbl[[#This Row],[Asian or Pacific Islander Male]])," ")</f>
        <v xml:space="preserve"> </v>
      </c>
      <c r="F14" s="85" t="str">
        <f>IFERROR(IF(Count_Tbl[[#This Row],[Asian or Pacific Islander Female]]/GoalAsCount_Tbl[[#This Row],[Asian or Pacific Islander Female]]&gt;=1,1,Count_Tbl[[#This Row],[Asian or Pacific Islander Female]]/GoalAsCount_Tbl[[#This Row],[Asian or Pacific Islander Female]])," ")</f>
        <v xml:space="preserve"> </v>
      </c>
      <c r="G14" s="85" t="str">
        <f>IFERROR(IF(Count_Tbl[[#This Row],[Black Non-Latinx]]/GoalAsCount_Tbl[[#This Row],[Black Non-Latinx]]&gt;=1,1,Count_Tbl[[#This Row],[Black Non-Latinx]]/GoalAsCount_Tbl[[#This Row],[Black Non-Latinx]])," ")</f>
        <v xml:space="preserve"> </v>
      </c>
      <c r="H14" s="85" t="str">
        <f>IFERROR(IF(Count_Tbl[[#This Row],[Black Non-Latinx Male]]/GoalAsCount_Tbl[[#This Row],[Black Non-Latinx Male]]&gt;=1,1,Count_Tbl[[#This Row],[Black Non-Latinx Male]]/GoalAsCount_Tbl[[#This Row],[Black Non-Latinx Male]])," ")</f>
        <v xml:space="preserve"> </v>
      </c>
      <c r="I14" s="85" t="str">
        <f>IFERROR(IF(Count_Tbl[[#This Row],[Black Non-Latinx Female]]/GoalAsCount_Tbl[[#This Row],[Black Non-Latinx Female]]&gt;=1,1,Count_Tbl[[#This Row],[Black Non-Latinx Female]]/GoalAsCount_Tbl[[#This Row],[Black Non-Latinx Female]])," ")</f>
        <v xml:space="preserve"> </v>
      </c>
      <c r="J14" s="85" t="str">
        <f>IFERROR(IF(Count_Tbl[[#This Row],[Latinx]]/GoalAsCount_Tbl[[#This Row],[Latinx]]&gt;=1,1,Count_Tbl[[#This Row],[Latinx]]/GoalAsCount_Tbl[[#This Row],[Latinx]])," ")</f>
        <v xml:space="preserve"> </v>
      </c>
      <c r="K14" s="85" t="str">
        <f>IFERROR(IF(Count_Tbl[[#This Row],[Latinx Male]]/GoalAsCount_Tbl[[#This Row],[Latinx Male]]&gt;=1,1,Count_Tbl[[#This Row],[Latinx Male]]/GoalAsCount_Tbl[[#This Row],[Latinx Male]])," ")</f>
        <v xml:space="preserve"> </v>
      </c>
      <c r="L14" s="85" t="str">
        <f>IFERROR(IF(Count_Tbl[[#This Row],[Latinx Female]]/GoalAsCount_Tbl[[#This Row],[Latinx Female]]&gt;=1,1,Count_Tbl[[#This Row],[Latinx Female]]/GoalAsCount_Tbl[[#This Row],[Latinx Female]])," ")</f>
        <v xml:space="preserve"> </v>
      </c>
      <c r="M14" s="85" t="str">
        <f>IFERROR(IF(Count_Tbl[[#This Row],[Multiracial]]/GoalAsCount_Tbl[[#This Row],[Multiracial]]&gt;=1,1,Count_Tbl[[#This Row],[Multiracial]]/GoalAsCount_Tbl[[#This Row],[Multiracial]])," ")</f>
        <v xml:space="preserve"> </v>
      </c>
      <c r="N14" s="85" t="str">
        <f>IFERROR(IF(Count_Tbl[[#This Row],[Multiracial Male]]/GoalAsCount_Tbl[[#This Row],[Multiracial Male]]&gt;=1,1,Count_Tbl[[#This Row],[Multiracial Male]]/GoalAsCount_Tbl[[#This Row],[Multiracial Male]])," ")</f>
        <v xml:space="preserve"> </v>
      </c>
      <c r="O14" s="85" t="str">
        <f>IFERROR(IF(Count_Tbl[[#This Row],[Multiracial Female]]/GoalAsCount_Tbl[[#This Row],[Multiracial Female]]&gt;=1,1,Count_Tbl[[#This Row],[Multiracial Female]]/GoalAsCount_Tbl[[#This Row],[Multiracial Female]])," ")</f>
        <v xml:space="preserve"> </v>
      </c>
      <c r="P14" s="85" t="str">
        <f>IFERROR(IF(Count_Tbl[[#This Row],[Native American or Alaska Native]]/GoalAsCount_Tbl[[#This Row],[Native American or Alaska Native]]&gt;=1,1,Count_Tbl[[#This Row],[Native American or Alaska Native]]/GoalAsCount_Tbl[[#This Row],[Native American or Alaska Native]])," ")</f>
        <v xml:space="preserve"> </v>
      </c>
      <c r="Q14" s="85" t="str">
        <f>IFERROR(IF(Count_Tbl[[#This Row],[Native American or Alaska Native Male]]/GoalAsCount_Tbl[[#This Row],[Native American or Alaska Native Male]]&gt;=1,1,Count_Tbl[[#This Row],[Native American or Alaska Native Male]]/GoalAsCount_Tbl[[#This Row],[Native American or Alaska Native Male]])," ")</f>
        <v xml:space="preserve"> </v>
      </c>
      <c r="R14" s="85" t="str">
        <f>IFERROR(IF(Count_Tbl[[#This Row],[Native American or Alaska Native Female]]/GoalAsCount_Tbl[[#This Row],[Native American or Alaska Native Female]]&gt;=1,1,Count_Tbl[[#This Row],[Native American or Alaska Native Female]]/GoalAsCount_Tbl[[#This Row],[Native American or Alaska Native Female]])," ")</f>
        <v xml:space="preserve"> </v>
      </c>
      <c r="S14" s="85" t="str">
        <f>IFERROR(IF(Count_Tbl[[#This Row],[White Non-Latinx]]/GoalAsCount_Tbl[[#This Row],[White Non-Latinx]]&gt;=1,1,Count_Tbl[[#This Row],[White Non-Latinx]]/GoalAsCount_Tbl[[#This Row],[White Non-Latinx]])," ")</f>
        <v xml:space="preserve"> </v>
      </c>
      <c r="T14" s="85" t="str">
        <f>IFERROR(IF(Count_Tbl[[#This Row],[White Non-Latinx Male]]/GoalAsCount_Tbl[[#This Row],[White Non-Latinx Male]]&gt;=1,1,Count_Tbl[[#This Row],[White Non-Latinx Male]]/GoalAsCount_Tbl[[#This Row],[White Non-Latinx Male]])," ")</f>
        <v xml:space="preserve"> </v>
      </c>
      <c r="U14" s="85" t="str">
        <f>IFERROR(IF(Count_Tbl[[#This Row],[White Non-Latinx Female]]/GoalAsCount_Tbl[[#This Row],[White Non-Latinx Female]]&gt;=1,1,Count_Tbl[[#This Row],[White Non-Latinx Female]]/GoalAsCount_Tbl[[#This Row],[White Non-Latinx Female]])," ")</f>
        <v xml:space="preserve"> </v>
      </c>
      <c r="V14" s="85" t="str">
        <f>IFERROR(IF(Count_Tbl[[#This Row],[Learners with Disabilities]]/GoalAsCount_Tbl[[#This Row],[Learners with Disabilities]]&gt;=1,1,Count_Tbl[[#This Row],[Learners with Disabilities]]/GoalAsCount_Tbl[[#This Row],[Learners with Disabilities]])," ")</f>
        <v xml:space="preserve"> </v>
      </c>
      <c r="W14" s="85" t="str">
        <f>IFERROR(IF(Count_Tbl[[#This Row],[Learners with Disabilities Male]]/GoalAsCount_Tbl[[#This Row],[Learners with Disabilities Male]]&gt;=1,1,Count_Tbl[[#This Row],[Learners with Disabilities Male]]/GoalAsCount_Tbl[[#This Row],[Learners with Disabilities Male]])," ")</f>
        <v xml:space="preserve"> </v>
      </c>
      <c r="X14" s="85" t="str">
        <f>IFERROR(IF(Count_Tbl[[#This Row],[Learners with Disabilities Female]]/GoalAsCount_Tbl[[#This Row],[Learners with Disabilities Female]]&gt;=1,1,Count_Tbl[[#This Row],[Learners with Disabilities Female]]/GoalAsCount_Tbl[[#This Row],[Learners with Disabilities Female]])," ")</f>
        <v xml:space="preserve"> </v>
      </c>
      <c r="Y14" s="85" t="str">
        <f>IFERROR(IF(Count_Tbl[[#This Row],[Economically Disadvantaged]]/GoalAsCount_Tbl[[#This Row],[Economically Disadvantaged]]&gt;=1,1,Count_Tbl[[#This Row],[Economically Disadvantaged]]/GoalAsCount_Tbl[[#This Row],[Economically Disadvantaged]])," ")</f>
        <v xml:space="preserve"> </v>
      </c>
      <c r="Z14" s="85" t="str">
        <f>IFERROR(IF(Count_Tbl[[#This Row],[Economically Disadvantaged Male]]/GoalAsCount_Tbl[[#This Row],[Economically Disadvantaged Male]]&gt;=1,1,Count_Tbl[[#This Row],[Economically Disadvantaged Male]]/GoalAsCount_Tbl[[#This Row],[Economically Disadvantaged Male]])," ")</f>
        <v xml:space="preserve"> </v>
      </c>
      <c r="AA14" s="85" t="str">
        <f>IFERROR(IF(Count_Tbl[[#This Row],[Economically Disadvantaged Female]]/GoalAsCount_Tbl[[#This Row],[Economically Disadvantaged Female]]&gt;=1,1,Count_Tbl[[#This Row],[Economically Disadvantaged Female]]/GoalAsCount_Tbl[[#This Row],[Economically Disadvantaged Female]])," ")</f>
        <v xml:space="preserve"> </v>
      </c>
      <c r="AB14" s="85" t="str">
        <f>IFERROR(IF(Count_Tbl[[#This Row],[English Learner]]/GoalAsCount_Tbl[[#This Row],[English Learner]]&gt;=1,1,Count_Tbl[[#This Row],[English Learner]]/GoalAsCount_Tbl[[#This Row],[English Learner]])," ")</f>
        <v xml:space="preserve"> </v>
      </c>
      <c r="AC14" s="85" t="str">
        <f>IFERROR(IF(Count_Tbl[[#This Row],[English Learner Male]]/GoalAsCount_Tbl[[#This Row],[English Learner Male]]&gt;=1,1,Count_Tbl[[#This Row],[English Learner Male]]/GoalAsCount_Tbl[[#This Row],[English Learner Male]])," ")</f>
        <v xml:space="preserve"> </v>
      </c>
      <c r="AD14" s="85" t="str">
        <f>IFERROR(IF(Count_Tbl[[#This Row],[English Learner Female]]/GoalAsCount_Tbl[[#This Row],[English Learner Female]]&gt;=1,1,Count_Tbl[[#This Row],[English Learner Female]]/GoalAsCount_Tbl[[#This Row],[English Learner Female]])," ")</f>
        <v xml:space="preserve"> </v>
      </c>
      <c r="AE14" s="85" t="str">
        <f>IFERROR(IF(Count_Tbl[[#This Row],[Migrant]]/GoalAsCount_Tbl[[#This Row],[Migrant]]&gt;=1,1,Count_Tbl[[#This Row],[Migrant]]/GoalAsCount_Tbl[[#This Row],[Migrant]])," ")</f>
        <v xml:space="preserve"> </v>
      </c>
      <c r="AF14" s="85" t="str">
        <f>IFERROR(IF(Count_Tbl[[#This Row],[Migrant Male]]/GoalAsCount_Tbl[[#This Row],[Migrant Male]]&gt;=1,1,Count_Tbl[[#This Row],[Migrant Male]]/GoalAsCount_Tbl[[#This Row],[Migrant Male]])," ")</f>
        <v xml:space="preserve"> </v>
      </c>
      <c r="AG14" s="85" t="str">
        <f>IFERROR(IF(Count_Tbl[[#This Row],[Migrant Female]]/GoalAsCount_Tbl[[#This Row],[Migrant Female]]&gt;=1,1,Count_Tbl[[#This Row],[Migrant Female]]/GoalAsCount_Tbl[[#This Row],[Migrant Female]])," ")</f>
        <v xml:space="preserve"> </v>
      </c>
    </row>
    <row r="15" spans="1:85" hidden="1" x14ac:dyDescent="0.15">
      <c r="A15" s="89"/>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row>
    <row r="16" spans="1:85" s="8" customFormat="1" ht="18.5" hidden="1" customHeight="1" x14ac:dyDescent="0.15">
      <c r="A16" s="91" t="s">
        <v>34</v>
      </c>
      <c r="B16" s="90" t="str">
        <f>INDEX(B4:B14,MATCH(Ind_Filter,'Counts Entered by User'!$A$4:$A$14,0))</f>
        <v xml:space="preserve"> </v>
      </c>
      <c r="C16" s="90" t="str">
        <f>INDEX(C4:C14,MATCH(Ind_Filter,'Counts Entered by User'!$A$4:$A$14,0))</f>
        <v xml:space="preserve"> </v>
      </c>
      <c r="D16" s="90" t="str">
        <f>INDEX(D4:D14,MATCH(Ind_Filter,'Counts Entered by User'!$A$4:$A$14,0))</f>
        <v xml:space="preserve"> </v>
      </c>
      <c r="E16" s="90" t="str">
        <f>INDEX(E4:E14,MATCH(Ind_Filter,'Counts Entered by User'!$A$4:$A$14,0))</f>
        <v xml:space="preserve"> </v>
      </c>
      <c r="F16" s="90" t="str">
        <f>INDEX(F4:F14,MATCH(Ind_Filter,'Counts Entered by User'!$A$4:$A$14,0))</f>
        <v xml:space="preserve"> </v>
      </c>
      <c r="G16" s="90" t="str">
        <f>INDEX(G4:G14,MATCH(Ind_Filter,'Counts Entered by User'!$A$4:$A$14,0))</f>
        <v xml:space="preserve"> </v>
      </c>
      <c r="H16" s="90" t="str">
        <f>INDEX(H4:H14,MATCH(Ind_Filter,'Counts Entered by User'!$A$4:$A$14,0))</f>
        <v xml:space="preserve"> </v>
      </c>
      <c r="I16" s="90" t="str">
        <f>INDEX(I4:I14,MATCH(Ind_Filter,'Counts Entered by User'!$A$4:$A$14,0))</f>
        <v xml:space="preserve"> </v>
      </c>
      <c r="J16" s="90" t="str">
        <f>INDEX(J4:J14,MATCH(Ind_Filter,'Counts Entered by User'!$A$4:$A$14,0))</f>
        <v xml:space="preserve"> </v>
      </c>
      <c r="K16" s="90" t="str">
        <f>INDEX(K4:K14,MATCH(Ind_Filter,'Counts Entered by User'!$A$4:$A$14,0))</f>
        <v xml:space="preserve"> </v>
      </c>
      <c r="L16" s="90" t="str">
        <f>INDEX(L4:L14,MATCH(Ind_Filter,'Counts Entered by User'!$A$4:$A$14,0))</f>
        <v xml:space="preserve"> </v>
      </c>
      <c r="M16" s="90" t="str">
        <f>INDEX(M4:M14,MATCH(Ind_Filter,'Counts Entered by User'!$A$4:$A$14,0))</f>
        <v xml:space="preserve"> </v>
      </c>
      <c r="N16" s="90" t="str">
        <f>INDEX(N4:N14,MATCH(Ind_Filter,'Counts Entered by User'!$A$4:$A$14,0))</f>
        <v xml:space="preserve"> </v>
      </c>
      <c r="O16" s="90" t="str">
        <f>INDEX(O4:O14,MATCH(Ind_Filter,'Counts Entered by User'!$A$4:$A$14,0))</f>
        <v xml:space="preserve"> </v>
      </c>
      <c r="P16" s="90" t="str">
        <f>INDEX(P4:P14,MATCH(Ind_Filter,'Counts Entered by User'!$A$4:$A$14,0))</f>
        <v xml:space="preserve"> </v>
      </c>
      <c r="Q16" s="90" t="str">
        <f>INDEX(Q4:Q14,MATCH(Ind_Filter,'Counts Entered by User'!$A$4:$A$14,0))</f>
        <v xml:space="preserve"> </v>
      </c>
      <c r="R16" s="90" t="str">
        <f>INDEX(R4:R14,MATCH(Ind_Filter,'Counts Entered by User'!$A$4:$A$14,0))</f>
        <v xml:space="preserve"> </v>
      </c>
      <c r="S16" s="90" t="str">
        <f>INDEX(S4:S14,MATCH(Ind_Filter,'Counts Entered by User'!$A$4:$A$14,0))</f>
        <v xml:space="preserve"> </v>
      </c>
      <c r="T16" s="90" t="str">
        <f>INDEX(T4:T14,MATCH(Ind_Filter,'Counts Entered by User'!$A$4:$A$14,0))</f>
        <v xml:space="preserve"> </v>
      </c>
      <c r="U16" s="90" t="str">
        <f>INDEX(U4:U14,MATCH(Ind_Filter,'Counts Entered by User'!$A$4:$A$14,0))</f>
        <v xml:space="preserve"> </v>
      </c>
      <c r="V16" s="90" t="str">
        <f>INDEX(V4:V14,MATCH(Ind_Filter,'Counts Entered by User'!$A$4:$A$14,0))</f>
        <v xml:space="preserve"> </v>
      </c>
      <c r="W16" s="90" t="str">
        <f>INDEX(W4:W14,MATCH(Ind_Filter,'Counts Entered by User'!$A$4:$A$14,0))</f>
        <v xml:space="preserve"> </v>
      </c>
      <c r="X16" s="90" t="str">
        <f>INDEX(X4:X14,MATCH(Ind_Filter,'Counts Entered by User'!$A$4:$A$14,0))</f>
        <v xml:space="preserve"> </v>
      </c>
      <c r="Y16" s="90" t="str">
        <f>INDEX(Y4:Y14,MATCH(Ind_Filter,'Counts Entered by User'!$A$4:$A$14,0))</f>
        <v xml:space="preserve"> </v>
      </c>
      <c r="Z16" s="90" t="str">
        <f>INDEX(Z4:Z14,MATCH(Ind_Filter,'Counts Entered by User'!$A$4:$A$14,0))</f>
        <v xml:space="preserve"> </v>
      </c>
      <c r="AA16" s="90" t="str">
        <f>INDEX(AA4:AA14,MATCH(Ind_Filter,'Counts Entered by User'!$A$4:$A$14,0))</f>
        <v xml:space="preserve"> </v>
      </c>
      <c r="AB16" s="90" t="str">
        <f>INDEX(AB4:AB14,MATCH(Ind_Filter,'Counts Entered by User'!$A$4:$A$14,0))</f>
        <v xml:space="preserve"> </v>
      </c>
      <c r="AC16" s="90" t="str">
        <f>INDEX(AC4:AC14,MATCH(Ind_Filter,'Counts Entered by User'!$A$4:$A$14,0))</f>
        <v xml:space="preserve"> </v>
      </c>
      <c r="AD16" s="90" t="str">
        <f>INDEX(AD4:AD14,MATCH(Ind_Filter,'Counts Entered by User'!$A$4:$A$14,0))</f>
        <v xml:space="preserve"> </v>
      </c>
      <c r="AE16" s="90" t="str">
        <f>INDEX(AE4:AE14,MATCH(Ind_Filter,'Counts Entered by User'!$A$4:$A$14,0))</f>
        <v xml:space="preserve"> </v>
      </c>
      <c r="AF16" s="90" t="str">
        <f>INDEX(AF4:AF14,MATCH(Ind_Filter,'Counts Entered by User'!$A$4:$A$14,0))</f>
        <v xml:space="preserve"> </v>
      </c>
      <c r="AG16" s="90" t="str">
        <f>INDEX(AG4:AG14,MATCH(Ind_Filter,'Counts Entered by User'!$A$4:$A$14,0))</f>
        <v xml:space="preserve"> </v>
      </c>
    </row>
    <row r="17" spans="1:50" ht="18.5" hidden="1" customHeight="1" x14ac:dyDescent="0.15">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row>
    <row r="18" spans="1:50" ht="15.75" hidden="1" customHeight="1" x14ac:dyDescent="0.15">
      <c r="A18" s="8"/>
      <c r="B18" s="8"/>
      <c r="AK18" s="92" t="s">
        <v>35</v>
      </c>
      <c r="AL18" s="93" t="s">
        <v>30</v>
      </c>
      <c r="AM18" s="92" t="s">
        <v>34</v>
      </c>
      <c r="AN18" s="94" t="s">
        <v>0</v>
      </c>
      <c r="AO18" s="94" t="s">
        <v>2</v>
      </c>
      <c r="AP18" s="95" t="s">
        <v>3</v>
      </c>
      <c r="AQ18" s="95" t="s">
        <v>5</v>
      </c>
      <c r="AR18" s="96" t="s">
        <v>6</v>
      </c>
      <c r="AS18" s="96" t="s">
        <v>7</v>
      </c>
      <c r="AT18" s="96" t="s">
        <v>8</v>
      </c>
      <c r="AU18" s="97" t="s">
        <v>9</v>
      </c>
      <c r="AV18" s="97" t="s">
        <v>10</v>
      </c>
      <c r="AW18" s="97" t="s">
        <v>11</v>
      </c>
      <c r="AX18" s="97" t="s">
        <v>12</v>
      </c>
    </row>
    <row r="19" spans="1:50" ht="15.75" hidden="1" customHeight="1" x14ac:dyDescent="0.15">
      <c r="A19" s="8"/>
      <c r="B19" s="8"/>
      <c r="AK19" s="98" t="s">
        <v>13</v>
      </c>
      <c r="AL19" s="99">
        <v>1</v>
      </c>
      <c r="AM19" s="100" t="str">
        <f>INDEX(PctOfGoalVert_Tbl[[#This Row],[CTE Participation]:[HWHD Wages]],MATCH(Ind_Filter,PctOfGoalVert_Tbl[[#Headers],[CTE Participation]:[HWHD Wages]],0))</f>
        <v xml:space="preserve"> </v>
      </c>
      <c r="AN19" s="86" t="str">
        <f>$B$4</f>
        <v xml:space="preserve"> </v>
      </c>
      <c r="AO19" s="86" t="str">
        <f>$B$5</f>
        <v xml:space="preserve"> </v>
      </c>
      <c r="AP19" s="86" t="str">
        <f>$B$6</f>
        <v xml:space="preserve"> </v>
      </c>
      <c r="AQ19" s="86" t="str">
        <f>$B$7</f>
        <v xml:space="preserve"> </v>
      </c>
      <c r="AR19" s="86" t="str">
        <f>$B$8</f>
        <v xml:space="preserve"> </v>
      </c>
      <c r="AS19" s="86" t="str">
        <f>$B$9</f>
        <v xml:space="preserve"> </v>
      </c>
      <c r="AT19" s="86" t="str">
        <f>$B$10</f>
        <v xml:space="preserve"> </v>
      </c>
      <c r="AU19" s="86" t="str">
        <f>$B$11</f>
        <v xml:space="preserve"> </v>
      </c>
      <c r="AV19" s="86" t="str">
        <f>$B$12</f>
        <v xml:space="preserve"> </v>
      </c>
      <c r="AW19" s="86" t="str">
        <f>$B$13</f>
        <v xml:space="preserve"> </v>
      </c>
      <c r="AX19" s="86" t="str">
        <f>$B$14</f>
        <v xml:space="preserve"> </v>
      </c>
    </row>
    <row r="20" spans="1:50" ht="15.5" hidden="1" customHeight="1" x14ac:dyDescent="0.15">
      <c r="A20" s="8"/>
      <c r="B20" s="8"/>
      <c r="AK20" s="101" t="s">
        <v>14</v>
      </c>
      <c r="AL20" s="13">
        <v>2</v>
      </c>
      <c r="AM20" s="100" t="str">
        <f>INDEX(PctOfGoalVert_Tbl[[#This Row],[CTE Participation]:[HWHD Wages]],MATCH(Ind_Filter,PctOfGoalVert_Tbl[[#Headers],[CTE Participation]:[HWHD Wages]],0))</f>
        <v xml:space="preserve"> </v>
      </c>
      <c r="AN20" s="86" t="str">
        <f>$C$4</f>
        <v xml:space="preserve"> </v>
      </c>
      <c r="AO20" s="86" t="str">
        <f>$C$5</f>
        <v xml:space="preserve"> </v>
      </c>
      <c r="AP20" s="86" t="str">
        <f>$C$6</f>
        <v xml:space="preserve"> </v>
      </c>
      <c r="AQ20" s="86" t="str">
        <f>$C$7</f>
        <v xml:space="preserve"> </v>
      </c>
      <c r="AR20" s="86" t="str">
        <f>$C$8</f>
        <v xml:space="preserve"> </v>
      </c>
      <c r="AS20" s="86" t="str">
        <f>$C$9</f>
        <v xml:space="preserve"> </v>
      </c>
      <c r="AT20" s="86" t="str">
        <f>$C$10</f>
        <v xml:space="preserve"> </v>
      </c>
      <c r="AU20" s="86" t="str">
        <f>$C$11</f>
        <v xml:space="preserve"> </v>
      </c>
      <c r="AV20" s="86" t="str">
        <f>$C$12</f>
        <v xml:space="preserve"> </v>
      </c>
      <c r="AW20" s="86" t="str">
        <f>$C$13</f>
        <v xml:space="preserve"> </v>
      </c>
      <c r="AX20" s="86" t="str">
        <f>$C$14</f>
        <v xml:space="preserve"> </v>
      </c>
    </row>
    <row r="21" spans="1:50" ht="15.5" hidden="1" customHeight="1" thickBot="1" x14ac:dyDescent="0.2">
      <c r="A21" s="8"/>
      <c r="B21" s="8"/>
      <c r="D21" s="102"/>
      <c r="E21" s="103"/>
      <c r="AK21" s="104" t="s">
        <v>15</v>
      </c>
      <c r="AL21" s="13">
        <v>3</v>
      </c>
      <c r="AM21" s="100" t="str">
        <f>INDEX(PctOfGoalVert_Tbl[[#This Row],[CTE Participation]:[HWHD Wages]],MATCH(Ind_Filter,PctOfGoalVert_Tbl[[#Headers],[CTE Participation]:[HWHD Wages]],0))</f>
        <v xml:space="preserve"> </v>
      </c>
      <c r="AN21" s="86" t="str">
        <f>$D$4</f>
        <v xml:space="preserve"> </v>
      </c>
      <c r="AO21" s="86" t="str">
        <f>$D$5</f>
        <v xml:space="preserve"> </v>
      </c>
      <c r="AP21" s="86" t="str">
        <f>$D$6</f>
        <v xml:space="preserve"> </v>
      </c>
      <c r="AQ21" s="86" t="str">
        <f>$D$7</f>
        <v xml:space="preserve"> </v>
      </c>
      <c r="AR21" s="86" t="str">
        <f>$D$8</f>
        <v xml:space="preserve"> </v>
      </c>
      <c r="AS21" s="86" t="str">
        <f>$D$9</f>
        <v xml:space="preserve"> </v>
      </c>
      <c r="AT21" s="86" t="str">
        <f>$D$10</f>
        <v xml:space="preserve"> </v>
      </c>
      <c r="AU21" s="86" t="str">
        <f>$D$11</f>
        <v xml:space="preserve"> </v>
      </c>
      <c r="AV21" s="86" t="str">
        <f>$D$12</f>
        <v xml:space="preserve"> </v>
      </c>
      <c r="AW21" s="86" t="str">
        <f>$D$13</f>
        <v xml:space="preserve"> </v>
      </c>
      <c r="AX21" s="86" t="str">
        <f>$D$14</f>
        <v xml:space="preserve"> </v>
      </c>
    </row>
    <row r="22" spans="1:50" ht="61" hidden="1" thickBot="1" x14ac:dyDescent="0.2">
      <c r="A22" s="8"/>
      <c r="B22" s="27"/>
      <c r="C22" s="79" t="str">
        <f>RemainCntToGoal_Tbl[[#Headers],[Asian or Pacific Islander]]</f>
        <v>Asian or Pacific Islander</v>
      </c>
      <c r="D22" s="77" t="str">
        <f>RemainCntToGoal_Tbl[[#Headers],[Black Non-Latinx]]</f>
        <v>Black Non-Latinx</v>
      </c>
      <c r="E22" s="80" t="str">
        <f>RemainCntToGoal_Tbl[[#Headers],[Latinx]]</f>
        <v>Latinx</v>
      </c>
      <c r="F22" s="82" t="str">
        <f>RemainCntToGoal_Tbl[[#Headers],[Multiracial]]</f>
        <v>Multiracial</v>
      </c>
      <c r="G22" s="79" t="str">
        <f>RemainCntToGoal_Tbl[[#Headers],[Native American or Alaska Native]]</f>
        <v>Native American or Alaska Native</v>
      </c>
      <c r="H22" s="82" t="str">
        <f>RemainCntToGoal_Tbl[[#Headers],[White Non-Latinx]]</f>
        <v>White Non-Latinx</v>
      </c>
      <c r="I22" s="79" t="str">
        <f>RemainCntToGoal_Tbl[[#Headers],[Learners with Disabilities]]</f>
        <v>Learners with Disabilities</v>
      </c>
      <c r="J22" s="82" t="str">
        <f>RemainCntToGoal_Tbl[[#Headers],[Economically Disadvantaged]]</f>
        <v>Economically Disadvantaged</v>
      </c>
      <c r="K22" s="79" t="str">
        <f>RemainCntToGoal_Tbl[[#Headers],[English Learner]]</f>
        <v>English Learner</v>
      </c>
      <c r="L22" s="82" t="str">
        <f>RemainCntToGoal_Tbl[[#Headers],[Migrant]]</f>
        <v>Migrant</v>
      </c>
      <c r="AK22" s="98" t="s">
        <v>19</v>
      </c>
      <c r="AL22" s="13">
        <v>4</v>
      </c>
      <c r="AM22" s="100" t="str">
        <f>INDEX(PctOfGoalVert_Tbl[[#This Row],[CTE Participation]:[HWHD Wages]],MATCH(Ind_Filter,PctOfGoalVert_Tbl[[#Headers],[CTE Participation]:[HWHD Wages]],0))</f>
        <v xml:space="preserve"> </v>
      </c>
      <c r="AN22" s="86" t="str">
        <f>$E$4</f>
        <v xml:space="preserve"> </v>
      </c>
      <c r="AO22" s="86" t="str">
        <f>$E$5</f>
        <v xml:space="preserve"> </v>
      </c>
      <c r="AP22" s="86" t="str">
        <f>$E$6</f>
        <v xml:space="preserve"> </v>
      </c>
      <c r="AQ22" s="86" t="str">
        <f>$E$7</f>
        <v xml:space="preserve"> </v>
      </c>
      <c r="AR22" s="86" t="str">
        <f>$E$8</f>
        <v xml:space="preserve"> </v>
      </c>
      <c r="AS22" s="86" t="str">
        <f>$E$9</f>
        <v xml:space="preserve"> </v>
      </c>
      <c r="AT22" s="86" t="str">
        <f>$E$10</f>
        <v xml:space="preserve"> </v>
      </c>
      <c r="AU22" s="86" t="str">
        <f>$E$11</f>
        <v xml:space="preserve"> </v>
      </c>
      <c r="AV22" s="86" t="str">
        <f>$E$12</f>
        <v xml:space="preserve"> </v>
      </c>
      <c r="AW22" s="86" t="str">
        <f>$E$13</f>
        <v xml:space="preserve"> </v>
      </c>
      <c r="AX22" s="86" t="str">
        <f>$E$14</f>
        <v xml:space="preserve"> </v>
      </c>
    </row>
    <row r="23" spans="1:50" ht="15.75" hidden="1" customHeight="1" x14ac:dyDescent="0.15">
      <c r="A23" s="8"/>
      <c r="B23" s="27"/>
      <c r="C23" s="105" t="str">
        <f ca="1">OFFSET($A$3,MATCH(Ind_Filter,$A$4:$A$14,0),MATCH(C22,PctOfGoal_Tbl[[#Headers],[Male]:[Migrant Female]],0))</f>
        <v xml:space="preserve"> </v>
      </c>
      <c r="D23" s="105" t="str">
        <f ca="1">OFFSET($A$3,MATCH(Ind_Filter,$A$4:$A$14,0),MATCH(D22,PctOfGoal_Tbl[[#Headers],[Male]:[Migrant Female]],0))</f>
        <v xml:space="preserve"> </v>
      </c>
      <c r="E23" s="105" t="str">
        <f ca="1">OFFSET($A$3,MATCH(Ind_Filter,$A$4:$A$14,0),MATCH(E22,PctOfGoal_Tbl[[#Headers],[Male]:[Migrant Female]],0))</f>
        <v xml:space="preserve"> </v>
      </c>
      <c r="F23" s="105" t="str">
        <f ca="1">OFFSET($A$3,MATCH(Ind_Filter,$A$4:$A$14,0),MATCH(F22,PctOfGoal_Tbl[[#Headers],[Male]:[Migrant Female]],0))</f>
        <v xml:space="preserve"> </v>
      </c>
      <c r="G23" s="105" t="str">
        <f ca="1">OFFSET($A$3,MATCH(Ind_Filter,$A$4:$A$14,0),MATCH(G22,PctOfGoal_Tbl[[#Headers],[Male]:[Migrant Female]],0))</f>
        <v xml:space="preserve"> </v>
      </c>
      <c r="H23" s="105" t="str">
        <f ca="1">OFFSET($A$3,MATCH(Ind_Filter,$A$4:$A$14,0),MATCH(H22,PctOfGoal_Tbl[[#Headers],[Male]:[Migrant Female]],0))</f>
        <v xml:space="preserve"> </v>
      </c>
      <c r="I23" s="105" t="str">
        <f ca="1">OFFSET($A$3,MATCH(Ind_Filter,$A$4:$A$14,0),MATCH(I22,PctOfGoal_Tbl[[#Headers],[Male]:[Migrant Female]],0))</f>
        <v xml:space="preserve"> </v>
      </c>
      <c r="J23" s="105" t="str">
        <f ca="1">OFFSET($A$3,MATCH(Ind_Filter,$A$4:$A$14,0),MATCH(J22,PctOfGoal_Tbl[[#Headers],[Male]:[Migrant Female]],0))</f>
        <v xml:space="preserve"> </v>
      </c>
      <c r="K23" s="105" t="str">
        <f ca="1">OFFSET($A$3,MATCH(Ind_Filter,$A$4:$A$14,0),MATCH(K22,PctOfGoal_Tbl[[#Headers],[Male]:[Migrant Female]],0))</f>
        <v xml:space="preserve"> </v>
      </c>
      <c r="L23" s="105" t="str">
        <f ca="1">OFFSET($A$3,MATCH(Ind_Filter,$A$4:$A$14,0),MATCH(L22,PctOfGoal_Tbl[[#Headers],[Male]:[Migrant Female]],0))</f>
        <v xml:space="preserve"> </v>
      </c>
      <c r="AK23" s="98" t="s">
        <v>20</v>
      </c>
      <c r="AL23" s="13">
        <v>5</v>
      </c>
      <c r="AM23" s="100" t="str">
        <f>INDEX(PctOfGoalVert_Tbl[[#This Row],[CTE Participation]:[HWHD Wages]],MATCH(Ind_Filter,PctOfGoalVert_Tbl[[#Headers],[CTE Participation]:[HWHD Wages]],0))</f>
        <v xml:space="preserve"> </v>
      </c>
      <c r="AN23" s="86" t="str">
        <f>$F$4</f>
        <v xml:space="preserve"> </v>
      </c>
      <c r="AO23" s="86" t="str">
        <f>$F$5</f>
        <v xml:space="preserve"> </v>
      </c>
      <c r="AP23" s="86" t="str">
        <f>$F$6</f>
        <v xml:space="preserve"> </v>
      </c>
      <c r="AQ23" s="86" t="str">
        <f>$F$7</f>
        <v xml:space="preserve"> </v>
      </c>
      <c r="AR23" s="86" t="str">
        <f>$F$8</f>
        <v xml:space="preserve"> </v>
      </c>
      <c r="AS23" s="86" t="str">
        <f>$F$9</f>
        <v xml:space="preserve"> </v>
      </c>
      <c r="AT23" s="86" t="str">
        <f>$F$10</f>
        <v xml:space="preserve"> </v>
      </c>
      <c r="AU23" s="86" t="str">
        <f>$F$11</f>
        <v xml:space="preserve"> </v>
      </c>
      <c r="AV23" s="86" t="str">
        <f>$F$12</f>
        <v xml:space="preserve"> </v>
      </c>
      <c r="AW23" s="86" t="str">
        <f>$F$13</f>
        <v xml:space="preserve"> </v>
      </c>
      <c r="AX23" s="86" t="str">
        <f>$F$14</f>
        <v xml:space="preserve"> </v>
      </c>
    </row>
    <row r="24" spans="1:50" ht="15.75" hidden="1" customHeight="1" x14ac:dyDescent="0.15">
      <c r="A24" s="8"/>
      <c r="B24" s="27"/>
      <c r="C24" s="105"/>
      <c r="D24" s="105"/>
      <c r="E24" s="105"/>
      <c r="F24" s="105"/>
      <c r="G24" s="105"/>
      <c r="H24" s="105"/>
      <c r="I24" s="105"/>
      <c r="J24" s="105"/>
      <c r="K24" s="105"/>
      <c r="L24" s="105"/>
      <c r="AK24" s="98" t="s">
        <v>51</v>
      </c>
      <c r="AL24" s="99">
        <v>6</v>
      </c>
      <c r="AM24" s="100" t="str">
        <f>INDEX(PctOfGoalVert_Tbl[[#This Row],[CTE Participation]:[HWHD Wages]],MATCH(Ind_Filter,PctOfGoalVert_Tbl[[#Headers],[CTE Participation]:[HWHD Wages]],0))</f>
        <v xml:space="preserve"> </v>
      </c>
      <c r="AN24" s="86" t="str">
        <f>$G$4</f>
        <v xml:space="preserve"> </v>
      </c>
      <c r="AO24" s="86" t="str">
        <f>$G$5</f>
        <v xml:space="preserve"> </v>
      </c>
      <c r="AP24" s="86" t="str">
        <f>$G$6</f>
        <v xml:space="preserve"> </v>
      </c>
      <c r="AQ24" s="86" t="str">
        <f>$G$7</f>
        <v xml:space="preserve"> </v>
      </c>
      <c r="AR24" s="86" t="str">
        <f>$G$8</f>
        <v xml:space="preserve"> </v>
      </c>
      <c r="AS24" s="86" t="str">
        <f>$G$9</f>
        <v xml:space="preserve"> </v>
      </c>
      <c r="AT24" s="86" t="str">
        <f>$G$10</f>
        <v xml:space="preserve"> </v>
      </c>
      <c r="AU24" s="86" t="str">
        <f>$G$11</f>
        <v xml:space="preserve"> </v>
      </c>
      <c r="AV24" s="86" t="str">
        <f>$G$12</f>
        <v xml:space="preserve"> </v>
      </c>
      <c r="AW24" s="86" t="str">
        <f>$G$13</f>
        <v xml:space="preserve"> </v>
      </c>
      <c r="AX24" s="86" t="str">
        <f>$G$14</f>
        <v xml:space="preserve"> </v>
      </c>
    </row>
    <row r="25" spans="1:50" ht="15.75" hidden="1" customHeight="1" x14ac:dyDescent="0.15">
      <c r="A25" s="8"/>
      <c r="B25" s="27"/>
      <c r="C25" s="105"/>
      <c r="D25" s="105"/>
      <c r="E25" s="105"/>
      <c r="F25" s="105"/>
      <c r="G25" s="105"/>
      <c r="H25" s="105"/>
      <c r="I25" s="105"/>
      <c r="J25" s="105"/>
      <c r="K25" s="105"/>
      <c r="L25" s="105"/>
      <c r="AK25" s="98" t="s">
        <v>52</v>
      </c>
      <c r="AL25" s="99">
        <v>7</v>
      </c>
      <c r="AM25" s="100" t="str">
        <f>INDEX(PctOfGoalVert_Tbl[[#This Row],[CTE Participation]:[HWHD Wages]],MATCH(Ind_Filter,PctOfGoalVert_Tbl[[#Headers],[CTE Participation]:[HWHD Wages]],0))</f>
        <v xml:space="preserve"> </v>
      </c>
      <c r="AN25" s="86" t="str">
        <f>$H$4</f>
        <v xml:space="preserve"> </v>
      </c>
      <c r="AO25" s="86" t="str">
        <f>$H$5</f>
        <v xml:space="preserve"> </v>
      </c>
      <c r="AP25" s="86" t="str">
        <f>$H$6</f>
        <v xml:space="preserve"> </v>
      </c>
      <c r="AQ25" s="86" t="str">
        <f>$H$7</f>
        <v xml:space="preserve"> </v>
      </c>
      <c r="AR25" s="86" t="str">
        <f>$H$8</f>
        <v xml:space="preserve"> </v>
      </c>
      <c r="AS25" s="86" t="str">
        <f>$H$9</f>
        <v xml:space="preserve"> </v>
      </c>
      <c r="AT25" s="86" t="str">
        <f>$H$10</f>
        <v xml:space="preserve"> </v>
      </c>
      <c r="AU25" s="86" t="str">
        <f>$H$11</f>
        <v xml:space="preserve"> </v>
      </c>
      <c r="AV25" s="86" t="str">
        <f>$H$12</f>
        <v xml:space="preserve"> </v>
      </c>
      <c r="AW25" s="86" t="str">
        <f>$H$13</f>
        <v xml:space="preserve"> </v>
      </c>
      <c r="AX25" s="86" t="str">
        <f>$H$14</f>
        <v xml:space="preserve"> </v>
      </c>
    </row>
    <row r="26" spans="1:50" ht="15.75" hidden="1" customHeight="1" thickBot="1" x14ac:dyDescent="0.2">
      <c r="A26" s="8"/>
      <c r="B26" s="27"/>
      <c r="C26" s="27"/>
      <c r="D26" s="27"/>
      <c r="E26" s="106"/>
      <c r="F26" s="27"/>
      <c r="G26" s="27"/>
      <c r="H26" s="27"/>
      <c r="I26" s="27"/>
      <c r="J26" s="27"/>
      <c r="K26" s="27"/>
      <c r="L26" s="27"/>
      <c r="AK26" s="98" t="s">
        <v>53</v>
      </c>
      <c r="AL26" s="13">
        <v>8</v>
      </c>
      <c r="AM26" s="100" t="str">
        <f>INDEX(PctOfGoalVert_Tbl[[#This Row],[CTE Participation]:[HWHD Wages]],MATCH(Ind_Filter,PctOfGoalVert_Tbl[[#Headers],[CTE Participation]:[HWHD Wages]],0))</f>
        <v xml:space="preserve"> </v>
      </c>
      <c r="AN26" s="86" t="str">
        <f>$I$4</f>
        <v xml:space="preserve"> </v>
      </c>
      <c r="AO26" s="86" t="str">
        <f>$I$5</f>
        <v xml:space="preserve"> </v>
      </c>
      <c r="AP26" s="86" t="str">
        <f>$I$6</f>
        <v xml:space="preserve"> </v>
      </c>
      <c r="AQ26" s="86" t="str">
        <f>$I$7</f>
        <v xml:space="preserve"> </v>
      </c>
      <c r="AR26" s="86" t="str">
        <f>$I$8</f>
        <v xml:space="preserve"> </v>
      </c>
      <c r="AS26" s="86" t="str">
        <f>$I$9</f>
        <v xml:space="preserve"> </v>
      </c>
      <c r="AT26" s="86" t="str">
        <f>$I$10</f>
        <v xml:space="preserve"> </v>
      </c>
      <c r="AU26" s="86" t="str">
        <f>$I$11</f>
        <v xml:space="preserve"> </v>
      </c>
      <c r="AV26" s="86" t="str">
        <f>$I$12</f>
        <v xml:space="preserve"> </v>
      </c>
      <c r="AW26" s="86" t="str">
        <f>$I$13</f>
        <v xml:space="preserve"> </v>
      </c>
      <c r="AX26" s="86" t="str">
        <f>$I$14</f>
        <v xml:space="preserve"> </v>
      </c>
    </row>
    <row r="27" spans="1:50" ht="61" hidden="1" thickBot="1" x14ac:dyDescent="0.2">
      <c r="A27" s="8"/>
      <c r="B27" s="77" t="str">
        <f>RemainCntToGoal_Tbl[[#Headers],[Male]]</f>
        <v>Male</v>
      </c>
      <c r="C27" s="80" t="str">
        <f>PctOfGoal_Tbl[[#Headers],[Asian or Pacific Islander Male]]</f>
        <v>Asian or Pacific Islander Male</v>
      </c>
      <c r="D27" s="77" t="str">
        <f>RemainCntToGoal_Tbl[[#Headers],[Black Non-Latinx Male]]</f>
        <v>Black Non-Latinx Male</v>
      </c>
      <c r="E27" s="80" t="str">
        <f>RemainCntToGoal_Tbl[[#Headers],[Latinx Male]]</f>
        <v>Latinx Male</v>
      </c>
      <c r="F27" s="77" t="str">
        <f>RemainCntToGoal_Tbl[[#Headers],[Multiracial Male]]</f>
        <v>Multiracial Male</v>
      </c>
      <c r="G27" s="80" t="str">
        <f>RemainCntToGoal_Tbl[[#Headers],[Native American or Alaska Native Male]]</f>
        <v>Native American or Alaska Native Male</v>
      </c>
      <c r="H27" s="77" t="str">
        <f>RemainCntToGoal_Tbl[[#Headers],[White Non-Latinx Male]]</f>
        <v>White Non-Latinx Male</v>
      </c>
      <c r="I27" s="80" t="str">
        <f>RemainCntToGoal_Tbl[[#Headers],[Learners with Disabilities Male]]</f>
        <v>Learners with Disabilities Male</v>
      </c>
      <c r="J27" s="77" t="str">
        <f>RemainCntToGoal_Tbl[[#Headers],[Economically Disadvantaged Male]]</f>
        <v>Economically Disadvantaged Male</v>
      </c>
      <c r="K27" s="80" t="str">
        <f>RemainCntToGoal_Tbl[[#Headers],[English Learner Male]]</f>
        <v>English Learner Male</v>
      </c>
      <c r="L27" s="77" t="str">
        <f>RemainCntToGoal_Tbl[[#Headers],[Migrant Male]]</f>
        <v>Migrant Male</v>
      </c>
      <c r="AK27" s="104" t="s">
        <v>54</v>
      </c>
      <c r="AL27" s="13">
        <v>9</v>
      </c>
      <c r="AM27" s="100" t="str">
        <f>INDEX(PctOfGoalVert_Tbl[[#This Row],[CTE Participation]:[HWHD Wages]],MATCH(Ind_Filter,PctOfGoalVert_Tbl[[#Headers],[CTE Participation]:[HWHD Wages]],0))</f>
        <v xml:space="preserve"> </v>
      </c>
      <c r="AN27" s="107" t="str">
        <f>$J$4</f>
        <v xml:space="preserve"> </v>
      </c>
      <c r="AO27" s="107" t="str">
        <f>$J$5</f>
        <v xml:space="preserve"> </v>
      </c>
      <c r="AP27" s="107" t="str">
        <f>$J$6</f>
        <v xml:space="preserve"> </v>
      </c>
      <c r="AQ27" s="107" t="str">
        <f>$J$7</f>
        <v xml:space="preserve"> </v>
      </c>
      <c r="AR27" s="107" t="str">
        <f>$J$8</f>
        <v xml:space="preserve"> </v>
      </c>
      <c r="AS27" s="107" t="str">
        <f>$J$9</f>
        <v xml:space="preserve"> </v>
      </c>
      <c r="AT27" s="107" t="str">
        <f>$J$10</f>
        <v xml:space="preserve"> </v>
      </c>
      <c r="AU27" s="107" t="str">
        <f>$J$11</f>
        <v xml:space="preserve"> </v>
      </c>
      <c r="AV27" s="107" t="str">
        <f>$J$12</f>
        <v xml:space="preserve"> </v>
      </c>
      <c r="AW27" s="107" t="str">
        <f>$J$13</f>
        <v xml:space="preserve"> </v>
      </c>
      <c r="AX27" s="107" t="str">
        <f>$J$14</f>
        <v xml:space="preserve"> </v>
      </c>
    </row>
    <row r="28" spans="1:50" ht="15.75" hidden="1" customHeight="1" x14ac:dyDescent="0.15">
      <c r="A28" s="8"/>
      <c r="B28" s="105" t="str">
        <f ca="1">OFFSET($A$3,MATCH(Ind_Filter,$A$4:$A$14,0),MATCH(B27,PctOfGoal_Tbl[[#Headers],[Male]:[Migrant Female]],0))</f>
        <v xml:space="preserve"> </v>
      </c>
      <c r="C28" s="105" t="str">
        <f ca="1">OFFSET($A$3,MATCH(Ind_Filter,$A$4:$A$14,0),MATCH(C27,PctOfGoal_Tbl[[#Headers],[Male]:[Migrant Female]],0))</f>
        <v xml:space="preserve"> </v>
      </c>
      <c r="D28" s="105" t="str">
        <f ca="1">OFFSET($A$3,MATCH(Ind_Filter,$A$4:$A$14,0),MATCH(D27,PctOfGoal_Tbl[[#Headers],[Male]:[Migrant Female]],0))</f>
        <v xml:space="preserve"> </v>
      </c>
      <c r="E28" s="105" t="str">
        <f ca="1">OFFSET($A$3,MATCH(Ind_Filter,$A$4:$A$14,0),MATCH(E27,PctOfGoal_Tbl[[#Headers],[Male]:[Migrant Female]],0))</f>
        <v xml:space="preserve"> </v>
      </c>
      <c r="F28" s="105" t="str">
        <f ca="1">OFFSET($A$3,MATCH(Ind_Filter,$A$4:$A$14,0),MATCH(F27,PctOfGoal_Tbl[[#Headers],[Male]:[Migrant Female]],0))</f>
        <v xml:space="preserve"> </v>
      </c>
      <c r="G28" s="105" t="str">
        <f ca="1">OFFSET($A$3,MATCH(Ind_Filter,$A$4:$A$14,0),MATCH(G27,PctOfGoal_Tbl[[#Headers],[Male]:[Migrant Female]],0))</f>
        <v xml:space="preserve"> </v>
      </c>
      <c r="H28" s="105" t="str">
        <f ca="1">OFFSET($A$3,MATCH(Ind_Filter,$A$4:$A$14,0),MATCH(H27,PctOfGoal_Tbl[[#Headers],[Male]:[Migrant Female]],0))</f>
        <v xml:space="preserve"> </v>
      </c>
      <c r="I28" s="105" t="str">
        <f ca="1">OFFSET($A$3,MATCH(Ind_Filter,$A$4:$A$14,0),MATCH(I27,PctOfGoal_Tbl[[#Headers],[Male]:[Migrant Female]],0))</f>
        <v xml:space="preserve"> </v>
      </c>
      <c r="J28" s="105" t="str">
        <f ca="1">OFFSET($A$3,MATCH(Ind_Filter,$A$4:$A$14,0),MATCH(J27,PctOfGoal_Tbl[[#Headers],[Male]:[Migrant Female]],0))</f>
        <v xml:space="preserve"> </v>
      </c>
      <c r="K28" s="105" t="str">
        <f ca="1">OFFSET($A$3,MATCH(Ind_Filter,$A$4:$A$14,0),MATCH(K27,PctOfGoal_Tbl[[#Headers],[Male]:[Migrant Female]],0))</f>
        <v xml:space="preserve"> </v>
      </c>
      <c r="L28" s="105" t="str">
        <f ca="1">OFFSET($A$3,MATCH(Ind_Filter,$A$4:$A$14,0),MATCH(L27,PctOfGoal_Tbl[[#Headers],[Male]:[Migrant Female]],0))</f>
        <v xml:space="preserve"> </v>
      </c>
      <c r="AK28" s="98" t="s">
        <v>55</v>
      </c>
      <c r="AL28" s="13">
        <v>10</v>
      </c>
      <c r="AM28" s="100" t="str">
        <f>INDEX(PctOfGoalVert_Tbl[[#This Row],[CTE Participation]:[HWHD Wages]],MATCH(Ind_Filter,PctOfGoalVert_Tbl[[#Headers],[CTE Participation]:[HWHD Wages]],0))</f>
        <v xml:space="preserve"> </v>
      </c>
      <c r="AN28" s="86" t="str">
        <f>$K$4</f>
        <v xml:space="preserve"> </v>
      </c>
      <c r="AO28" s="86" t="str">
        <f>$K$5</f>
        <v xml:space="preserve"> </v>
      </c>
      <c r="AP28" s="86" t="str">
        <f>$K$6</f>
        <v xml:space="preserve"> </v>
      </c>
      <c r="AQ28" s="86" t="str">
        <f>$K$7</f>
        <v xml:space="preserve"> </v>
      </c>
      <c r="AR28" s="86" t="str">
        <f>$K$8</f>
        <v xml:space="preserve"> </v>
      </c>
      <c r="AS28" s="86" t="str">
        <f>$K$9</f>
        <v xml:space="preserve"> </v>
      </c>
      <c r="AT28" s="86" t="str">
        <f>$K$10</f>
        <v xml:space="preserve"> </v>
      </c>
      <c r="AU28" s="86" t="str">
        <f>$K$11</f>
        <v xml:space="preserve"> </v>
      </c>
      <c r="AV28" s="86" t="str">
        <f>$K$12</f>
        <v xml:space="preserve"> </v>
      </c>
      <c r="AW28" s="86" t="str">
        <f>$K$13</f>
        <v xml:space="preserve"> </v>
      </c>
      <c r="AX28" s="86" t="str">
        <f>$K$14</f>
        <v xml:space="preserve"> </v>
      </c>
    </row>
    <row r="29" spans="1:50" ht="15.75" hidden="1" customHeight="1" x14ac:dyDescent="0.15">
      <c r="A29" s="8"/>
      <c r="B29" s="105"/>
      <c r="C29" s="105"/>
      <c r="D29" s="105"/>
      <c r="E29" s="105"/>
      <c r="F29" s="105"/>
      <c r="G29" s="105"/>
      <c r="H29" s="105"/>
      <c r="I29" s="105"/>
      <c r="J29" s="105"/>
      <c r="K29" s="105"/>
      <c r="L29" s="105"/>
      <c r="AK29" s="98" t="s">
        <v>56</v>
      </c>
      <c r="AL29" s="99">
        <v>11</v>
      </c>
      <c r="AM29" s="100" t="str">
        <f>INDEX(PctOfGoalVert_Tbl[[#This Row],[CTE Participation]:[HWHD Wages]],MATCH(Ind_Filter,PctOfGoalVert_Tbl[[#Headers],[CTE Participation]:[HWHD Wages]],0))</f>
        <v xml:space="preserve"> </v>
      </c>
      <c r="AN29" s="86" t="str">
        <f>$L$4</f>
        <v xml:space="preserve"> </v>
      </c>
      <c r="AO29" s="86" t="str">
        <f>$L$5</f>
        <v xml:space="preserve"> </v>
      </c>
      <c r="AP29" s="86" t="str">
        <f>$L$6</f>
        <v xml:space="preserve"> </v>
      </c>
      <c r="AQ29" s="86" t="str">
        <f>$L$7</f>
        <v xml:space="preserve"> </v>
      </c>
      <c r="AR29" s="86" t="str">
        <f>$L$8</f>
        <v xml:space="preserve"> </v>
      </c>
      <c r="AS29" s="86" t="str">
        <f>$L$9</f>
        <v xml:space="preserve"> </v>
      </c>
      <c r="AT29" s="86" t="str">
        <f>$L$10</f>
        <v xml:space="preserve"> </v>
      </c>
      <c r="AU29" s="86" t="str">
        <f>$L$11</f>
        <v xml:space="preserve"> </v>
      </c>
      <c r="AV29" s="86" t="str">
        <f>$L$12</f>
        <v xml:space="preserve"> </v>
      </c>
      <c r="AW29" s="86" t="str">
        <f>$L$13</f>
        <v xml:space="preserve"> </v>
      </c>
      <c r="AX29" s="86" t="str">
        <f>$L$14</f>
        <v xml:space="preserve"> </v>
      </c>
    </row>
    <row r="30" spans="1:50" ht="15.75" hidden="1" customHeight="1" x14ac:dyDescent="0.15">
      <c r="A30" s="8"/>
      <c r="B30" s="105"/>
      <c r="C30" s="105"/>
      <c r="D30" s="105"/>
      <c r="E30" s="105"/>
      <c r="F30" s="105"/>
      <c r="G30" s="105"/>
      <c r="H30" s="105"/>
      <c r="I30" s="105"/>
      <c r="J30" s="105"/>
      <c r="K30" s="105"/>
      <c r="L30" s="105"/>
      <c r="AK30" s="98" t="s">
        <v>16</v>
      </c>
      <c r="AL30" s="99">
        <v>12</v>
      </c>
      <c r="AM30" s="100" t="str">
        <f>INDEX(PctOfGoalVert_Tbl[[#This Row],[CTE Participation]:[HWHD Wages]],MATCH(Ind_Filter,PctOfGoalVert_Tbl[[#Headers],[CTE Participation]:[HWHD Wages]],0))</f>
        <v xml:space="preserve"> </v>
      </c>
      <c r="AN30" s="86" t="str">
        <f>$M$4</f>
        <v xml:space="preserve"> </v>
      </c>
      <c r="AO30" s="86" t="str">
        <f>$M$5</f>
        <v xml:space="preserve"> </v>
      </c>
      <c r="AP30" s="86" t="str">
        <f>$M$6</f>
        <v xml:space="preserve"> </v>
      </c>
      <c r="AQ30" s="86" t="str">
        <f>$M$7</f>
        <v xml:space="preserve"> </v>
      </c>
      <c r="AR30" s="86" t="str">
        <f>$M$8</f>
        <v xml:space="preserve"> </v>
      </c>
      <c r="AS30" s="86" t="str">
        <f>$M$9</f>
        <v xml:space="preserve"> </v>
      </c>
      <c r="AT30" s="86" t="str">
        <f>$M$10</f>
        <v xml:space="preserve"> </v>
      </c>
      <c r="AU30" s="86" t="str">
        <f>$M$11</f>
        <v xml:space="preserve"> </v>
      </c>
      <c r="AV30" s="86" t="str">
        <f>$M$12</f>
        <v xml:space="preserve"> </v>
      </c>
      <c r="AW30" s="86" t="str">
        <f>$M$13</f>
        <v xml:space="preserve"> </v>
      </c>
      <c r="AX30" s="86" t="str">
        <f>$M$14</f>
        <v xml:space="preserve"> </v>
      </c>
    </row>
    <row r="31" spans="1:50" ht="15.75" hidden="1" customHeight="1" thickBot="1" x14ac:dyDescent="0.2">
      <c r="A31" s="8"/>
      <c r="B31" s="27"/>
      <c r="C31" s="27"/>
      <c r="D31" s="27"/>
      <c r="E31" s="27"/>
      <c r="F31" s="27"/>
      <c r="G31" s="27"/>
      <c r="H31" s="27"/>
      <c r="I31" s="27"/>
      <c r="J31" s="27"/>
      <c r="K31" s="27"/>
      <c r="L31" s="27"/>
      <c r="AK31" s="98" t="s">
        <v>21</v>
      </c>
      <c r="AL31" s="13">
        <v>13</v>
      </c>
      <c r="AM31" s="100" t="str">
        <f>INDEX(PctOfGoalVert_Tbl[[#This Row],[CTE Participation]:[HWHD Wages]],MATCH(Ind_Filter,PctOfGoalVert_Tbl[[#Headers],[CTE Participation]:[HWHD Wages]],0))</f>
        <v xml:space="preserve"> </v>
      </c>
      <c r="AN31" s="86" t="str">
        <f>$N$4</f>
        <v xml:space="preserve"> </v>
      </c>
      <c r="AO31" s="86" t="str">
        <f>$N$5</f>
        <v xml:space="preserve"> </v>
      </c>
      <c r="AP31" s="86" t="str">
        <f>$N$6</f>
        <v xml:space="preserve"> </v>
      </c>
      <c r="AQ31" s="86" t="str">
        <f>$N$7</f>
        <v xml:space="preserve"> </v>
      </c>
      <c r="AR31" s="86" t="str">
        <f>$N$8</f>
        <v xml:space="preserve"> </v>
      </c>
      <c r="AS31" s="86" t="str">
        <f>$N$9</f>
        <v xml:space="preserve"> </v>
      </c>
      <c r="AT31" s="86" t="str">
        <f>$N$10</f>
        <v xml:space="preserve"> </v>
      </c>
      <c r="AU31" s="86" t="str">
        <f>$N$11</f>
        <v xml:space="preserve"> </v>
      </c>
      <c r="AV31" s="86" t="str">
        <f>$N$12</f>
        <v xml:space="preserve"> </v>
      </c>
      <c r="AW31" s="86" t="str">
        <f>$N$13</f>
        <v xml:space="preserve"> </v>
      </c>
      <c r="AX31" s="86" t="str">
        <f>$N$14</f>
        <v xml:space="preserve"> </v>
      </c>
    </row>
    <row r="32" spans="1:50" ht="76" hidden="1" thickBot="1" x14ac:dyDescent="0.2">
      <c r="A32" s="8"/>
      <c r="B32" s="77" t="str">
        <f>RemainCntToGoal_Tbl[[#Headers],[Female]]</f>
        <v>Female</v>
      </c>
      <c r="C32" s="80" t="str">
        <f>RemainCntToGoal_Tbl[[#Headers],[Asian or Pacific Islander Female]]</f>
        <v>Asian or Pacific Islander Female</v>
      </c>
      <c r="D32" s="77" t="str">
        <f>RemainCntToGoal_Tbl[[#Headers],[Black Non-Latinx Female]]</f>
        <v>Black Non-Latinx Female</v>
      </c>
      <c r="E32" s="80" t="str">
        <f>RemainCntToGoal_Tbl[[#Headers],[Latinx Female]]</f>
        <v>Latinx Female</v>
      </c>
      <c r="F32" s="77" t="str">
        <f>RemainCntToGoal_Tbl[[#Headers],[Multiracial Female]]</f>
        <v>Multiracial Female</v>
      </c>
      <c r="G32" s="80" t="str">
        <f>RemainCntToGoal_Tbl[[#Headers],[Native American or Alaska Native Female]]</f>
        <v>Native American or Alaska Native Female</v>
      </c>
      <c r="H32" s="77" t="str">
        <f>RemainCntToGoal_Tbl[[#Headers],[White Non-Latinx Female]]</f>
        <v>White Non-Latinx Female</v>
      </c>
      <c r="I32" s="80" t="str">
        <f>RemainCntToGoal_Tbl[[#Headers],[Learners with Disabilities Female]]</f>
        <v>Learners with Disabilities Female</v>
      </c>
      <c r="J32" s="77" t="str">
        <f>RemainCntToGoal_Tbl[[#Headers],[Economically Disadvantaged Female]]</f>
        <v>Economically Disadvantaged Female</v>
      </c>
      <c r="K32" s="80" t="str">
        <f>RemainCntToGoal_Tbl[[#Headers],[English Learner Female]]</f>
        <v>English Learner Female</v>
      </c>
      <c r="L32" s="77" t="str">
        <f>RemainCntToGoal_Tbl[[#Headers],[Migrant Female]]</f>
        <v>Migrant Female</v>
      </c>
      <c r="AK32" s="98" t="s">
        <v>22</v>
      </c>
      <c r="AL32" s="13">
        <v>14</v>
      </c>
      <c r="AM32" s="100" t="str">
        <f>INDEX(PctOfGoalVert_Tbl[[#This Row],[CTE Participation]:[HWHD Wages]],MATCH(Ind_Filter,PctOfGoalVert_Tbl[[#Headers],[CTE Participation]:[HWHD Wages]],0))</f>
        <v xml:space="preserve"> </v>
      </c>
      <c r="AN32" s="86" t="str">
        <f>$O$4</f>
        <v xml:space="preserve"> </v>
      </c>
      <c r="AO32" s="86" t="str">
        <f>$O$5</f>
        <v xml:space="preserve"> </v>
      </c>
      <c r="AP32" s="86" t="str">
        <f>$O$6</f>
        <v xml:space="preserve"> </v>
      </c>
      <c r="AQ32" s="86" t="str">
        <f>$O$7</f>
        <v xml:space="preserve"> </v>
      </c>
      <c r="AR32" s="86" t="str">
        <f>$O$8</f>
        <v xml:space="preserve"> </v>
      </c>
      <c r="AS32" s="86" t="str">
        <f>$O$9</f>
        <v xml:space="preserve"> </v>
      </c>
      <c r="AT32" s="86" t="str">
        <f>$O$10</f>
        <v xml:space="preserve"> </v>
      </c>
      <c r="AU32" s="86" t="str">
        <f>$O$11</f>
        <v xml:space="preserve"> </v>
      </c>
      <c r="AV32" s="86" t="str">
        <f>$O$12</f>
        <v xml:space="preserve"> </v>
      </c>
      <c r="AW32" s="86" t="str">
        <f>$O$13</f>
        <v xml:space="preserve"> </v>
      </c>
      <c r="AX32" s="86" t="str">
        <f>$O$14</f>
        <v xml:space="preserve"> </v>
      </c>
    </row>
    <row r="33" spans="1:50" ht="15.75" hidden="1" customHeight="1" x14ac:dyDescent="0.15">
      <c r="A33" s="8"/>
      <c r="B33" s="105" t="str">
        <f ca="1">OFFSET($A$3,MATCH(Ind_Filter,$A$4:$A$14,0),MATCH(B32,PctOfGoal_Tbl[[#Headers],[Male]:[Migrant Female]],0))</f>
        <v xml:space="preserve"> </v>
      </c>
      <c r="C33" s="105" t="str">
        <f ca="1">OFFSET($A$3,MATCH(Ind_Filter,$A$4:$A$14,0),MATCH(C32,PctOfGoal_Tbl[[#Headers],[Male]:[Migrant Female]],0))</f>
        <v xml:space="preserve"> </v>
      </c>
      <c r="D33" s="105" t="str">
        <f ca="1">OFFSET($A$3,MATCH(Ind_Filter,$A$4:$A$14,0),MATCH(D32,PctOfGoal_Tbl[[#Headers],[Male]:[Migrant Female]],0))</f>
        <v xml:space="preserve"> </v>
      </c>
      <c r="E33" s="105" t="str">
        <f ca="1">OFFSET($A$3,MATCH(Ind_Filter,$A$4:$A$14,0),MATCH(E32,PctOfGoal_Tbl[[#Headers],[Male]:[Migrant Female]],0))</f>
        <v xml:space="preserve"> </v>
      </c>
      <c r="F33" s="105" t="str">
        <f ca="1">OFFSET($A$3,MATCH(Ind_Filter,$A$4:$A$14,0),MATCH(F32,PctOfGoal_Tbl[[#Headers],[Male]:[Migrant Female]],0))</f>
        <v xml:space="preserve"> </v>
      </c>
      <c r="G33" s="105" t="str">
        <f ca="1">OFFSET($A$3,MATCH(Ind_Filter,$A$4:$A$14,0),MATCH(G32,PctOfGoal_Tbl[[#Headers],[Male]:[Migrant Female]],0))</f>
        <v xml:space="preserve"> </v>
      </c>
      <c r="H33" s="105" t="str">
        <f ca="1">OFFSET($A$3,MATCH(Ind_Filter,$A$4:$A$14,0),MATCH(H32,PctOfGoal_Tbl[[#Headers],[Male]:[Migrant Female]],0))</f>
        <v xml:space="preserve"> </v>
      </c>
      <c r="I33" s="105" t="str">
        <f ca="1">OFFSET($A$3,MATCH(Ind_Filter,$A$4:$A$14,0),MATCH(I32,PctOfGoal_Tbl[[#Headers],[Male]:[Migrant Female]],0))</f>
        <v xml:space="preserve"> </v>
      </c>
      <c r="J33" s="105" t="str">
        <f ca="1">OFFSET($A$3,MATCH(Ind_Filter,$A$4:$A$14,0),MATCH(J32,PctOfGoal_Tbl[[#Headers],[Male]:[Migrant Female]],0))</f>
        <v xml:space="preserve"> </v>
      </c>
      <c r="K33" s="105" t="str">
        <f ca="1">OFFSET($A$3,MATCH(Ind_Filter,$A$4:$A$14,0),MATCH(K32,PctOfGoal_Tbl[[#Headers],[Male]:[Migrant Female]],0))</f>
        <v xml:space="preserve"> </v>
      </c>
      <c r="L33" s="105" t="str">
        <f ca="1">OFFSET($A$3,MATCH(Ind_Filter,$A$4:$A$14,0),MATCH(L32,PctOfGoal_Tbl[[#Headers],[Male]:[Migrant Female]],0))</f>
        <v xml:space="preserve"> </v>
      </c>
      <c r="AK33" s="104" t="s">
        <v>60</v>
      </c>
      <c r="AL33" s="13">
        <v>15</v>
      </c>
      <c r="AM33" s="100" t="str">
        <f>INDEX(PctOfGoalVert_Tbl[[#This Row],[CTE Participation]:[HWHD Wages]],MATCH(Ind_Filter,PctOfGoalVert_Tbl[[#Headers],[CTE Participation]:[HWHD Wages]],0))</f>
        <v xml:space="preserve"> </v>
      </c>
      <c r="AN33" s="86" t="str">
        <f>$P$4</f>
        <v xml:space="preserve"> </v>
      </c>
      <c r="AO33" s="86" t="str">
        <f>$P$5</f>
        <v xml:space="preserve"> </v>
      </c>
      <c r="AP33" s="86" t="str">
        <f>$P$6</f>
        <v xml:space="preserve"> </v>
      </c>
      <c r="AQ33" s="86" t="str">
        <f>$P$7</f>
        <v xml:space="preserve"> </v>
      </c>
      <c r="AR33" s="86" t="str">
        <f>$P$8</f>
        <v xml:space="preserve"> </v>
      </c>
      <c r="AS33" s="86" t="str">
        <f>$P$9</f>
        <v xml:space="preserve"> </v>
      </c>
      <c r="AT33" s="86" t="str">
        <f>$P$10</f>
        <v xml:space="preserve"> </v>
      </c>
      <c r="AU33" s="86" t="str">
        <f>$P$11</f>
        <v xml:space="preserve"> </v>
      </c>
      <c r="AV33" s="86" t="str">
        <f>$P$12</f>
        <v xml:space="preserve"> </v>
      </c>
      <c r="AW33" s="86" t="str">
        <f>$P$13</f>
        <v xml:space="preserve"> </v>
      </c>
      <c r="AX33" s="86" t="str">
        <f>$P$14</f>
        <v xml:space="preserve"> </v>
      </c>
    </row>
    <row r="34" spans="1:50" ht="15.75" hidden="1" customHeight="1" x14ac:dyDescent="0.15">
      <c r="A34" s="8"/>
      <c r="B34" s="8"/>
      <c r="AK34" s="98" t="s">
        <v>61</v>
      </c>
      <c r="AL34" s="13">
        <v>16</v>
      </c>
      <c r="AM34" s="100" t="str">
        <f>INDEX(PctOfGoalVert_Tbl[[#This Row],[CTE Participation]:[HWHD Wages]],MATCH(Ind_Filter,PctOfGoalVert_Tbl[[#Headers],[CTE Participation]:[HWHD Wages]],0))</f>
        <v xml:space="preserve"> </v>
      </c>
      <c r="AN34" s="86" t="str">
        <f>$Q$4</f>
        <v xml:space="preserve"> </v>
      </c>
      <c r="AO34" s="86" t="str">
        <f>$Q$5</f>
        <v xml:space="preserve"> </v>
      </c>
      <c r="AP34" s="86" t="str">
        <f>$Q$6</f>
        <v xml:space="preserve"> </v>
      </c>
      <c r="AQ34" s="86" t="str">
        <f>$Q$7</f>
        <v xml:space="preserve"> </v>
      </c>
      <c r="AR34" s="86" t="str">
        <f>$Q$8</f>
        <v xml:space="preserve"> </v>
      </c>
      <c r="AS34" s="86" t="str">
        <f>$Q$9</f>
        <v xml:space="preserve"> </v>
      </c>
      <c r="AT34" s="86" t="str">
        <f>$Q$10</f>
        <v xml:space="preserve"> </v>
      </c>
      <c r="AU34" s="86" t="str">
        <f>$Q$11</f>
        <v xml:space="preserve"> </v>
      </c>
      <c r="AV34" s="86" t="str">
        <f>$Q$12</f>
        <v xml:space="preserve"> </v>
      </c>
      <c r="AW34" s="86" t="str">
        <f>$Q$13</f>
        <v xml:space="preserve"> </v>
      </c>
      <c r="AX34" s="86" t="str">
        <f>$Q$14</f>
        <v xml:space="preserve"> </v>
      </c>
    </row>
    <row r="35" spans="1:50" ht="15.75" hidden="1" customHeight="1" x14ac:dyDescent="0.15">
      <c r="A35" s="8"/>
      <c r="B35" s="8"/>
      <c r="AK35" s="98" t="s">
        <v>62</v>
      </c>
      <c r="AL35" s="13">
        <v>17</v>
      </c>
      <c r="AM35" s="100" t="str">
        <f>INDEX(PctOfGoalVert_Tbl[[#This Row],[CTE Participation]:[HWHD Wages]],MATCH(Ind_Filter,PctOfGoalVert_Tbl[[#Headers],[CTE Participation]:[HWHD Wages]],0))</f>
        <v xml:space="preserve"> </v>
      </c>
      <c r="AN35" s="86" t="str">
        <f>$R$4</f>
        <v xml:space="preserve"> </v>
      </c>
      <c r="AO35" s="86" t="str">
        <f>$R$5</f>
        <v xml:space="preserve"> </v>
      </c>
      <c r="AP35" s="86" t="str">
        <f>$R$6</f>
        <v xml:space="preserve"> </v>
      </c>
      <c r="AQ35" s="86" t="str">
        <f>$R$7</f>
        <v xml:space="preserve"> </v>
      </c>
      <c r="AR35" s="86" t="str">
        <f>$R$8</f>
        <v xml:space="preserve"> </v>
      </c>
      <c r="AS35" s="86" t="str">
        <f>$R$9</f>
        <v xml:space="preserve"> </v>
      </c>
      <c r="AT35" s="86" t="str">
        <f>$R$10</f>
        <v xml:space="preserve"> </v>
      </c>
      <c r="AU35" s="86" t="str">
        <f>$R$11</f>
        <v xml:space="preserve"> </v>
      </c>
      <c r="AV35" s="86" t="str">
        <f>$R$12</f>
        <v xml:space="preserve"> </v>
      </c>
      <c r="AW35" s="86" t="str">
        <f>$R$13</f>
        <v xml:space="preserve"> </v>
      </c>
      <c r="AX35" s="86" t="str">
        <f>$R$14</f>
        <v xml:space="preserve"> </v>
      </c>
    </row>
    <row r="36" spans="1:50" ht="15.75" hidden="1" customHeight="1" x14ac:dyDescent="0.15">
      <c r="A36" s="8"/>
      <c r="B36" s="8"/>
      <c r="AK36" s="104" t="s">
        <v>57</v>
      </c>
      <c r="AL36" s="13">
        <v>18</v>
      </c>
      <c r="AM36" s="100" t="str">
        <f>INDEX(PctOfGoalVert_Tbl[[#This Row],[CTE Participation]:[HWHD Wages]],MATCH(Ind_Filter,PctOfGoalVert_Tbl[[#Headers],[CTE Participation]:[HWHD Wages]],0))</f>
        <v xml:space="preserve"> </v>
      </c>
      <c r="AN36" s="86" t="str">
        <f>$S$4</f>
        <v xml:space="preserve"> </v>
      </c>
      <c r="AO36" s="86" t="str">
        <f>$S$5</f>
        <v xml:space="preserve"> </v>
      </c>
      <c r="AP36" s="86" t="str">
        <f>$S$6</f>
        <v xml:space="preserve"> </v>
      </c>
      <c r="AQ36" s="86" t="str">
        <f>$S$7</f>
        <v xml:space="preserve"> </v>
      </c>
      <c r="AR36" s="86" t="str">
        <f>$S$8</f>
        <v xml:space="preserve"> </v>
      </c>
      <c r="AS36" s="86" t="str">
        <f>$S$9</f>
        <v xml:space="preserve"> </v>
      </c>
      <c r="AT36" s="86" t="str">
        <f>$S$10</f>
        <v xml:space="preserve"> </v>
      </c>
      <c r="AU36" s="86" t="str">
        <f>$S$11</f>
        <v xml:space="preserve"> </v>
      </c>
      <c r="AV36" s="86" t="str">
        <f>$S$12</f>
        <v xml:space="preserve"> </v>
      </c>
      <c r="AW36" s="86" t="str">
        <f>$S$13</f>
        <v xml:space="preserve"> </v>
      </c>
      <c r="AX36" s="86" t="str">
        <f>$S$14</f>
        <v xml:space="preserve"> </v>
      </c>
    </row>
    <row r="37" spans="1:50" ht="15.75" hidden="1" customHeight="1" x14ac:dyDescent="0.15">
      <c r="A37" s="8"/>
      <c r="B37" s="8"/>
      <c r="AK37" s="98" t="s">
        <v>58</v>
      </c>
      <c r="AL37" s="13">
        <v>19</v>
      </c>
      <c r="AM37" s="100" t="str">
        <f>INDEX(PctOfGoalVert_Tbl[[#This Row],[CTE Participation]:[HWHD Wages]],MATCH(Ind_Filter,PctOfGoalVert_Tbl[[#Headers],[CTE Participation]:[HWHD Wages]],0))</f>
        <v xml:space="preserve"> </v>
      </c>
      <c r="AN37" s="86" t="str">
        <f>$T$4</f>
        <v xml:space="preserve"> </v>
      </c>
      <c r="AO37" s="86" t="str">
        <f>$T$5</f>
        <v xml:space="preserve"> </v>
      </c>
      <c r="AP37" s="86" t="str">
        <f>$T$6</f>
        <v xml:space="preserve"> </v>
      </c>
      <c r="AQ37" s="86" t="str">
        <f>$T$7</f>
        <v xml:space="preserve"> </v>
      </c>
      <c r="AR37" s="86" t="str">
        <f>$T$8</f>
        <v xml:space="preserve"> </v>
      </c>
      <c r="AS37" s="86" t="str">
        <f>$T$9</f>
        <v xml:space="preserve"> </v>
      </c>
      <c r="AT37" s="86" t="str">
        <f>$T$10</f>
        <v xml:space="preserve"> </v>
      </c>
      <c r="AU37" s="86" t="str">
        <f>$T$11</f>
        <v xml:space="preserve"> </v>
      </c>
      <c r="AV37" s="86" t="str">
        <f>$T$12</f>
        <v xml:space="preserve"> </v>
      </c>
      <c r="AW37" s="86" t="str">
        <f>$T$13</f>
        <v xml:space="preserve"> </v>
      </c>
      <c r="AX37" s="86" t="str">
        <f>$T$14</f>
        <v xml:space="preserve"> </v>
      </c>
    </row>
    <row r="38" spans="1:50" ht="15.75" hidden="1" customHeight="1" x14ac:dyDescent="0.15">
      <c r="A38" s="8"/>
      <c r="B38" s="8"/>
      <c r="AK38" s="98" t="s">
        <v>59</v>
      </c>
      <c r="AL38" s="13">
        <v>20</v>
      </c>
      <c r="AM38" s="100" t="str">
        <f>INDEX(PctOfGoalVert_Tbl[[#This Row],[CTE Participation]:[HWHD Wages]],MATCH(Ind_Filter,PctOfGoalVert_Tbl[[#Headers],[CTE Participation]:[HWHD Wages]],0))</f>
        <v xml:space="preserve"> </v>
      </c>
      <c r="AN38" s="86" t="str">
        <f>$U$4</f>
        <v xml:space="preserve"> </v>
      </c>
      <c r="AO38" s="86" t="str">
        <f>$U$5</f>
        <v xml:space="preserve"> </v>
      </c>
      <c r="AP38" s="86" t="str">
        <f>$U$6</f>
        <v xml:space="preserve"> </v>
      </c>
      <c r="AQ38" s="86" t="str">
        <f>$U$7</f>
        <v xml:space="preserve"> </v>
      </c>
      <c r="AR38" s="86" t="str">
        <f>$U$8</f>
        <v xml:space="preserve"> </v>
      </c>
      <c r="AS38" s="86" t="str">
        <f>$U$9</f>
        <v xml:space="preserve"> </v>
      </c>
      <c r="AT38" s="86" t="str">
        <f>$U$10</f>
        <v xml:space="preserve"> </v>
      </c>
      <c r="AU38" s="86" t="str">
        <f>$U$11</f>
        <v xml:space="preserve"> </v>
      </c>
      <c r="AV38" s="86" t="str">
        <f>$U$12</f>
        <v xml:space="preserve"> </v>
      </c>
      <c r="AW38" s="86" t="str">
        <f>$U$13</f>
        <v xml:space="preserve"> </v>
      </c>
      <c r="AX38" s="86" t="str">
        <f>$U$14</f>
        <v xml:space="preserve"> </v>
      </c>
    </row>
    <row r="39" spans="1:50" ht="15.75" hidden="1" customHeight="1" x14ac:dyDescent="0.15">
      <c r="A39" s="8"/>
      <c r="B39" s="8"/>
      <c r="AK39" s="108" t="s">
        <v>66</v>
      </c>
      <c r="AL39" s="13">
        <v>21</v>
      </c>
      <c r="AM39" s="100" t="str">
        <f>INDEX(PctOfGoalVert_Tbl[[#This Row],[CTE Participation]:[HWHD Wages]],MATCH(Ind_Filter,PctOfGoalVert_Tbl[[#Headers],[CTE Participation]:[HWHD Wages]],0))</f>
        <v xml:space="preserve"> </v>
      </c>
      <c r="AN39" s="86" t="str">
        <f>$V$4</f>
        <v xml:space="preserve"> </v>
      </c>
      <c r="AO39" s="86" t="str">
        <f>$V$5</f>
        <v xml:space="preserve"> </v>
      </c>
      <c r="AP39" s="86" t="str">
        <f>$V$6</f>
        <v xml:space="preserve"> </v>
      </c>
      <c r="AQ39" s="86" t="str">
        <f>$V$7</f>
        <v xml:space="preserve"> </v>
      </c>
      <c r="AR39" s="86" t="str">
        <f>$V$8</f>
        <v xml:space="preserve"> </v>
      </c>
      <c r="AS39" s="86" t="str">
        <f>$V$9</f>
        <v xml:space="preserve"> </v>
      </c>
      <c r="AT39" s="86" t="str">
        <f>$V$10</f>
        <v xml:space="preserve"> </v>
      </c>
      <c r="AU39" s="86" t="str">
        <f>$V$11</f>
        <v xml:space="preserve"> </v>
      </c>
      <c r="AV39" s="86" t="str">
        <f>$V$12</f>
        <v xml:space="preserve"> </v>
      </c>
      <c r="AW39" s="86" t="str">
        <f>$V$13</f>
        <v xml:space="preserve"> </v>
      </c>
      <c r="AX39" s="86" t="str">
        <f>$V$14</f>
        <v xml:space="preserve"> </v>
      </c>
    </row>
    <row r="40" spans="1:50" ht="15.75" hidden="1" customHeight="1" x14ac:dyDescent="0.15">
      <c r="A40" s="8"/>
      <c r="B40" s="8"/>
      <c r="AK40" s="98" t="s">
        <v>67</v>
      </c>
      <c r="AL40" s="13">
        <v>22</v>
      </c>
      <c r="AM40" s="100" t="str">
        <f>INDEX(PctOfGoalVert_Tbl[[#This Row],[CTE Participation]:[HWHD Wages]],MATCH(Ind_Filter,PctOfGoalVert_Tbl[[#Headers],[CTE Participation]:[HWHD Wages]],0))</f>
        <v xml:space="preserve"> </v>
      </c>
      <c r="AN40" s="86" t="str">
        <f>$W$4</f>
        <v xml:space="preserve"> </v>
      </c>
      <c r="AO40" s="86" t="str">
        <f>$W$5</f>
        <v xml:space="preserve"> </v>
      </c>
      <c r="AP40" s="86" t="str">
        <f>$W$6</f>
        <v xml:space="preserve"> </v>
      </c>
      <c r="AQ40" s="86" t="str">
        <f>$W$7</f>
        <v xml:space="preserve"> </v>
      </c>
      <c r="AR40" s="86" t="str">
        <f>$W$8</f>
        <v xml:space="preserve"> </v>
      </c>
      <c r="AS40" s="86" t="str">
        <f>$W$9</f>
        <v xml:space="preserve"> </v>
      </c>
      <c r="AT40" s="86" t="str">
        <f>$W$10</f>
        <v xml:space="preserve"> </v>
      </c>
      <c r="AU40" s="86" t="str">
        <f>$W$11</f>
        <v xml:space="preserve"> </v>
      </c>
      <c r="AV40" s="86" t="str">
        <f>$W$12</f>
        <v xml:space="preserve"> </v>
      </c>
      <c r="AW40" s="86" t="str">
        <f>$W$13</f>
        <v xml:space="preserve"> </v>
      </c>
      <c r="AX40" s="86" t="str">
        <f>$W$14</f>
        <v xml:space="preserve"> </v>
      </c>
    </row>
    <row r="41" spans="1:50" ht="15.75" hidden="1" customHeight="1" x14ac:dyDescent="0.15">
      <c r="A41" s="8"/>
      <c r="B41" s="8"/>
      <c r="AK41" s="98" t="s">
        <v>68</v>
      </c>
      <c r="AL41" s="13">
        <v>23</v>
      </c>
      <c r="AM41" s="100" t="str">
        <f>INDEX(PctOfGoalVert_Tbl[[#This Row],[CTE Participation]:[HWHD Wages]],MATCH(Ind_Filter,PctOfGoalVert_Tbl[[#Headers],[CTE Participation]:[HWHD Wages]],0))</f>
        <v xml:space="preserve"> </v>
      </c>
      <c r="AN41" s="86" t="str">
        <f>$X$4</f>
        <v xml:space="preserve"> </v>
      </c>
      <c r="AO41" s="86" t="str">
        <f>$X$5</f>
        <v xml:space="preserve"> </v>
      </c>
      <c r="AP41" s="86" t="str">
        <f>$X$6</f>
        <v xml:space="preserve"> </v>
      </c>
      <c r="AQ41" s="86" t="str">
        <f>$X$7</f>
        <v xml:space="preserve"> </v>
      </c>
      <c r="AR41" s="86" t="str">
        <f>$X$8</f>
        <v xml:space="preserve"> </v>
      </c>
      <c r="AS41" s="86" t="str">
        <f>$X$9</f>
        <v xml:space="preserve"> </v>
      </c>
      <c r="AT41" s="86" t="str">
        <f>$X$10</f>
        <v xml:space="preserve"> </v>
      </c>
      <c r="AU41" s="86" t="str">
        <f>$X$11</f>
        <v xml:space="preserve"> </v>
      </c>
      <c r="AV41" s="86" t="str">
        <f>$X$12</f>
        <v xml:space="preserve"> </v>
      </c>
      <c r="AW41" s="86" t="str">
        <f>$X$13</f>
        <v xml:space="preserve"> </v>
      </c>
      <c r="AX41" s="86" t="str">
        <f>$X$14</f>
        <v xml:space="preserve"> </v>
      </c>
    </row>
    <row r="42" spans="1:50" ht="15.75" hidden="1" customHeight="1" x14ac:dyDescent="0.15">
      <c r="A42" s="8"/>
      <c r="B42" s="8"/>
      <c r="AK42" s="108" t="s">
        <v>17</v>
      </c>
      <c r="AL42" s="13">
        <v>24</v>
      </c>
      <c r="AM42" s="100" t="str">
        <f>INDEX(PctOfGoalVert_Tbl[[#This Row],[CTE Participation]:[HWHD Wages]],MATCH(Ind_Filter,PctOfGoalVert_Tbl[[#Headers],[CTE Participation]:[HWHD Wages]],0))</f>
        <v xml:space="preserve"> </v>
      </c>
      <c r="AN42" s="86" t="str">
        <f>$Y$4</f>
        <v xml:space="preserve"> </v>
      </c>
      <c r="AO42" s="86" t="str">
        <f>$Y$5</f>
        <v xml:space="preserve"> </v>
      </c>
      <c r="AP42" s="86" t="str">
        <f>$Y$6</f>
        <v xml:space="preserve"> </v>
      </c>
      <c r="AQ42" s="86" t="str">
        <f>$Y$7</f>
        <v xml:space="preserve"> </v>
      </c>
      <c r="AR42" s="86" t="str">
        <f>$Y$8</f>
        <v xml:space="preserve"> </v>
      </c>
      <c r="AS42" s="86" t="str">
        <f>$Y$9</f>
        <v xml:space="preserve"> </v>
      </c>
      <c r="AT42" s="86" t="str">
        <f>$Y$10</f>
        <v xml:space="preserve"> </v>
      </c>
      <c r="AU42" s="86" t="str">
        <f>$Y$11</f>
        <v xml:space="preserve"> </v>
      </c>
      <c r="AV42" s="86" t="str">
        <f>$Y$12</f>
        <v xml:space="preserve"> </v>
      </c>
      <c r="AW42" s="86" t="str">
        <f>$Y$13</f>
        <v xml:space="preserve"> </v>
      </c>
      <c r="AX42" s="86" t="str">
        <f>$Y$14</f>
        <v xml:space="preserve"> </v>
      </c>
    </row>
    <row r="43" spans="1:50" ht="15.75" hidden="1" customHeight="1" x14ac:dyDescent="0.15">
      <c r="A43" s="8"/>
      <c r="B43" s="8"/>
      <c r="AK43" s="98" t="s">
        <v>23</v>
      </c>
      <c r="AL43" s="13">
        <v>25</v>
      </c>
      <c r="AM43" s="100" t="str">
        <f>INDEX(PctOfGoalVert_Tbl[[#This Row],[CTE Participation]:[HWHD Wages]],MATCH(Ind_Filter,PctOfGoalVert_Tbl[[#Headers],[CTE Participation]:[HWHD Wages]],0))</f>
        <v xml:space="preserve"> </v>
      </c>
      <c r="AN43" s="86" t="str">
        <f>$Z$4</f>
        <v xml:space="preserve"> </v>
      </c>
      <c r="AO43" s="86" t="str">
        <f>$Z$5</f>
        <v xml:space="preserve"> </v>
      </c>
      <c r="AP43" s="86" t="str">
        <f>$Z$6</f>
        <v xml:space="preserve"> </v>
      </c>
      <c r="AQ43" s="86" t="str">
        <f>$Z$7</f>
        <v xml:space="preserve"> </v>
      </c>
      <c r="AR43" s="86" t="str">
        <f>$Z$8</f>
        <v xml:space="preserve"> </v>
      </c>
      <c r="AS43" s="86" t="str">
        <f>$Z$9</f>
        <v xml:space="preserve"> </v>
      </c>
      <c r="AT43" s="86" t="str">
        <f>$Z$10</f>
        <v xml:space="preserve"> </v>
      </c>
      <c r="AU43" s="86" t="str">
        <f>$Z$11</f>
        <v xml:space="preserve"> </v>
      </c>
      <c r="AV43" s="86" t="str">
        <f>$Z$12</f>
        <v xml:space="preserve"> </v>
      </c>
      <c r="AW43" s="86" t="str">
        <f>$Z$13</f>
        <v xml:space="preserve"> </v>
      </c>
      <c r="AX43" s="86" t="str">
        <f>$Z$14</f>
        <v xml:space="preserve"> </v>
      </c>
    </row>
    <row r="44" spans="1:50" ht="15.75" hidden="1" customHeight="1" x14ac:dyDescent="0.15">
      <c r="A44" s="8"/>
      <c r="B44" s="8"/>
      <c r="AK44" s="98" t="s">
        <v>24</v>
      </c>
      <c r="AL44" s="13">
        <v>26</v>
      </c>
      <c r="AM44" s="100" t="str">
        <f>INDEX(PctOfGoalVert_Tbl[[#This Row],[CTE Participation]:[HWHD Wages]],MATCH(Ind_Filter,PctOfGoalVert_Tbl[[#Headers],[CTE Participation]:[HWHD Wages]],0))</f>
        <v xml:space="preserve"> </v>
      </c>
      <c r="AN44" s="86" t="str">
        <f>$AA$4</f>
        <v xml:space="preserve"> </v>
      </c>
      <c r="AO44" s="86" t="str">
        <f>$AA$5</f>
        <v xml:space="preserve"> </v>
      </c>
      <c r="AP44" s="86" t="str">
        <f>$AA$6</f>
        <v xml:space="preserve"> </v>
      </c>
      <c r="AQ44" s="86" t="str">
        <f>$AA$7</f>
        <v xml:space="preserve"> </v>
      </c>
      <c r="AR44" s="86" t="str">
        <f>$AA$8</f>
        <v xml:space="preserve"> </v>
      </c>
      <c r="AS44" s="86" t="str">
        <f>$AA$9</f>
        <v xml:space="preserve"> </v>
      </c>
      <c r="AT44" s="86" t="str">
        <f>$AA$10</f>
        <v xml:space="preserve"> </v>
      </c>
      <c r="AU44" s="86" t="str">
        <f>$AA$11</f>
        <v xml:space="preserve"> </v>
      </c>
      <c r="AV44" s="86" t="str">
        <f>$AA$12</f>
        <v xml:space="preserve"> </v>
      </c>
      <c r="AW44" s="86" t="str">
        <f>$AA$13</f>
        <v xml:space="preserve"> </v>
      </c>
      <c r="AX44" s="86" t="str">
        <f>$AA$14</f>
        <v xml:space="preserve"> </v>
      </c>
    </row>
    <row r="45" spans="1:50" ht="15.75" hidden="1" customHeight="1" x14ac:dyDescent="0.15">
      <c r="A45" s="8"/>
      <c r="B45" s="8"/>
      <c r="AK45" s="108" t="s">
        <v>63</v>
      </c>
      <c r="AL45" s="13">
        <v>27</v>
      </c>
      <c r="AM45" s="100" t="str">
        <f>INDEX(PctOfGoalVert_Tbl[[#This Row],[CTE Participation]:[HWHD Wages]],MATCH(Ind_Filter,PctOfGoalVert_Tbl[[#Headers],[CTE Participation]:[HWHD Wages]],0))</f>
        <v xml:space="preserve"> </v>
      </c>
      <c r="AN45" s="86" t="str">
        <f>$AB$4</f>
        <v xml:space="preserve"> </v>
      </c>
      <c r="AO45" s="86" t="str">
        <f>$AB$5</f>
        <v xml:space="preserve"> </v>
      </c>
      <c r="AP45" s="86" t="str">
        <f>$AB$6</f>
        <v xml:space="preserve"> </v>
      </c>
      <c r="AQ45" s="86" t="str">
        <f>$AB$7</f>
        <v xml:space="preserve"> </v>
      </c>
      <c r="AR45" s="86" t="str">
        <f>$AB$8</f>
        <v xml:space="preserve"> </v>
      </c>
      <c r="AS45" s="86" t="str">
        <f>$AB$9</f>
        <v xml:space="preserve"> </v>
      </c>
      <c r="AT45" s="86" t="str">
        <f>$AB$10</f>
        <v xml:space="preserve"> </v>
      </c>
      <c r="AU45" s="86" t="str">
        <f>$AB$11</f>
        <v xml:space="preserve"> </v>
      </c>
      <c r="AV45" s="86" t="str">
        <f>$AB$12</f>
        <v xml:space="preserve"> </v>
      </c>
      <c r="AW45" s="86" t="str">
        <f>$AB$13</f>
        <v xml:space="preserve"> </v>
      </c>
      <c r="AX45" s="86" t="str">
        <f>$AB$14</f>
        <v xml:space="preserve"> </v>
      </c>
    </row>
    <row r="46" spans="1:50" ht="15.75" hidden="1" customHeight="1" x14ac:dyDescent="0.15">
      <c r="A46" s="8"/>
      <c r="B46" s="8"/>
      <c r="AK46" s="98" t="s">
        <v>64</v>
      </c>
      <c r="AL46" s="13">
        <v>28</v>
      </c>
      <c r="AM46" s="100" t="str">
        <f>INDEX(PctOfGoalVert_Tbl[[#This Row],[CTE Participation]:[HWHD Wages]],MATCH(Ind_Filter,PctOfGoalVert_Tbl[[#Headers],[CTE Participation]:[HWHD Wages]],0))</f>
        <v xml:space="preserve"> </v>
      </c>
      <c r="AN46" s="86" t="str">
        <f>$AC$4</f>
        <v xml:space="preserve"> </v>
      </c>
      <c r="AO46" s="86" t="str">
        <f>$AC$5</f>
        <v xml:space="preserve"> </v>
      </c>
      <c r="AP46" s="86" t="str">
        <f>$AC$6</f>
        <v xml:space="preserve"> </v>
      </c>
      <c r="AQ46" s="86" t="str">
        <f>$AC$7</f>
        <v xml:space="preserve"> </v>
      </c>
      <c r="AR46" s="86" t="str">
        <f>$AC$8</f>
        <v xml:space="preserve"> </v>
      </c>
      <c r="AS46" s="86" t="str">
        <f>$AC$9</f>
        <v xml:space="preserve"> </v>
      </c>
      <c r="AT46" s="86" t="str">
        <f>$AC$10</f>
        <v xml:space="preserve"> </v>
      </c>
      <c r="AU46" s="86" t="str">
        <f>$AC$11</f>
        <v xml:space="preserve"> </v>
      </c>
      <c r="AV46" s="86" t="str">
        <f>$AC$12</f>
        <v xml:space="preserve"> </v>
      </c>
      <c r="AW46" s="86" t="str">
        <f>$AC$13</f>
        <v xml:space="preserve"> </v>
      </c>
      <c r="AX46" s="86" t="str">
        <f>$AC$14</f>
        <v xml:space="preserve"> </v>
      </c>
    </row>
    <row r="47" spans="1:50" ht="15.75" hidden="1" customHeight="1" x14ac:dyDescent="0.15">
      <c r="A47" s="8"/>
      <c r="B47" s="8"/>
      <c r="AK47" s="98" t="s">
        <v>65</v>
      </c>
      <c r="AL47" s="13">
        <v>29</v>
      </c>
      <c r="AM47" s="100" t="str">
        <f>INDEX(PctOfGoalVert_Tbl[[#This Row],[CTE Participation]:[HWHD Wages]],MATCH(Ind_Filter,PctOfGoalVert_Tbl[[#Headers],[CTE Participation]:[HWHD Wages]],0))</f>
        <v xml:space="preserve"> </v>
      </c>
      <c r="AN47" s="86" t="str">
        <f>$AD$4</f>
        <v xml:space="preserve"> </v>
      </c>
      <c r="AO47" s="86" t="str">
        <f>$AD$5</f>
        <v xml:space="preserve"> </v>
      </c>
      <c r="AP47" s="86" t="str">
        <f>$AD$6</f>
        <v xml:space="preserve"> </v>
      </c>
      <c r="AQ47" s="86" t="str">
        <f>$AD$7</f>
        <v xml:space="preserve"> </v>
      </c>
      <c r="AR47" s="86" t="str">
        <f>$AD$8</f>
        <v xml:space="preserve"> </v>
      </c>
      <c r="AS47" s="86" t="str">
        <f>$AD$9</f>
        <v xml:space="preserve"> </v>
      </c>
      <c r="AT47" s="86" t="str">
        <f>$AD$10</f>
        <v xml:space="preserve"> </v>
      </c>
      <c r="AU47" s="86" t="str">
        <f>$AD$11</f>
        <v xml:space="preserve"> </v>
      </c>
      <c r="AV47" s="86" t="str">
        <f>$AD$12</f>
        <v xml:space="preserve"> </v>
      </c>
      <c r="AW47" s="86" t="str">
        <f>$AD$13</f>
        <v xml:space="preserve"> </v>
      </c>
      <c r="AX47" s="86" t="str">
        <f>$AD$14</f>
        <v xml:space="preserve"> </v>
      </c>
    </row>
    <row r="48" spans="1:50" ht="15.75" hidden="1" customHeight="1" x14ac:dyDescent="0.15">
      <c r="A48" s="8"/>
      <c r="B48" s="8"/>
      <c r="AK48" s="108" t="s">
        <v>18</v>
      </c>
      <c r="AL48" s="13">
        <v>30</v>
      </c>
      <c r="AM48" s="100" t="str">
        <f>INDEX(PctOfGoalVert_Tbl[[#This Row],[CTE Participation]:[HWHD Wages]],MATCH(Ind_Filter,PctOfGoalVert_Tbl[[#Headers],[CTE Participation]:[HWHD Wages]],0))</f>
        <v xml:space="preserve"> </v>
      </c>
      <c r="AN48" s="86" t="str">
        <f>$AE$4</f>
        <v xml:space="preserve"> </v>
      </c>
      <c r="AO48" s="86" t="str">
        <f>$AE$5</f>
        <v xml:space="preserve"> </v>
      </c>
      <c r="AP48" s="86" t="str">
        <f>$AE$6</f>
        <v xml:space="preserve"> </v>
      </c>
      <c r="AQ48" s="86" t="str">
        <f>$AE$7</f>
        <v xml:space="preserve"> </v>
      </c>
      <c r="AR48" s="86" t="str">
        <f>$AE$8</f>
        <v xml:space="preserve"> </v>
      </c>
      <c r="AS48" s="86" t="str">
        <f>$AE$9</f>
        <v xml:space="preserve"> </v>
      </c>
      <c r="AT48" s="86" t="str">
        <f>$AE$10</f>
        <v xml:space="preserve"> </v>
      </c>
      <c r="AU48" s="86" t="str">
        <f>$AE$11</f>
        <v xml:space="preserve"> </v>
      </c>
      <c r="AV48" s="86" t="str">
        <f>$AE$12</f>
        <v xml:space="preserve"> </v>
      </c>
      <c r="AW48" s="86" t="str">
        <f>$AE$13</f>
        <v xml:space="preserve"> </v>
      </c>
      <c r="AX48" s="86" t="str">
        <f>$AE$14</f>
        <v xml:space="preserve"> </v>
      </c>
    </row>
    <row r="49" spans="1:85" ht="15" hidden="1" x14ac:dyDescent="0.15">
      <c r="A49" s="8"/>
      <c r="B49" s="8"/>
      <c r="AK49" s="98" t="s">
        <v>25</v>
      </c>
      <c r="AL49" s="13">
        <v>31</v>
      </c>
      <c r="AM49" s="100" t="str">
        <f>INDEX(PctOfGoalVert_Tbl[[#This Row],[CTE Participation]:[HWHD Wages]],MATCH(Ind_Filter,PctOfGoalVert_Tbl[[#Headers],[CTE Participation]:[HWHD Wages]],0))</f>
        <v xml:space="preserve"> </v>
      </c>
      <c r="AN49" s="86" t="str">
        <f>$AF$4</f>
        <v xml:space="preserve"> </v>
      </c>
      <c r="AO49" s="86" t="str">
        <f>$AF$5</f>
        <v xml:space="preserve"> </v>
      </c>
      <c r="AP49" s="86" t="str">
        <f>$AF$6</f>
        <v xml:space="preserve"> </v>
      </c>
      <c r="AQ49" s="86" t="str">
        <f>$AF$7</f>
        <v xml:space="preserve"> </v>
      </c>
      <c r="AR49" s="86" t="str">
        <f>$AF$8</f>
        <v xml:space="preserve"> </v>
      </c>
      <c r="AS49" s="86" t="str">
        <f>$AF$9</f>
        <v xml:space="preserve"> </v>
      </c>
      <c r="AT49" s="86" t="str">
        <f>$AF$10</f>
        <v xml:space="preserve"> </v>
      </c>
      <c r="AU49" s="86" t="str">
        <f>$AF$11</f>
        <v xml:space="preserve"> </v>
      </c>
      <c r="AV49" s="86" t="str">
        <f>$AF$12</f>
        <v xml:space="preserve"> </v>
      </c>
      <c r="AW49" s="86" t="str">
        <f>$AF$13</f>
        <v xml:space="preserve"> </v>
      </c>
      <c r="AX49" s="86" t="str">
        <f>$AF$14</f>
        <v xml:space="preserve"> </v>
      </c>
    </row>
    <row r="50" spans="1:85" ht="15" hidden="1" x14ac:dyDescent="0.15">
      <c r="A50" s="8"/>
      <c r="B50" s="8"/>
      <c r="AK50" s="98" t="s">
        <v>26</v>
      </c>
      <c r="AL50" s="13">
        <v>32</v>
      </c>
      <c r="AM50" s="100" t="str">
        <f>INDEX(PctOfGoalVert_Tbl[[#This Row],[CTE Participation]:[HWHD Wages]],MATCH(Ind_Filter,PctOfGoalVert_Tbl[[#Headers],[CTE Participation]:[HWHD Wages]],0))</f>
        <v xml:space="preserve"> </v>
      </c>
      <c r="AN50" s="86" t="str">
        <f>$AG$4</f>
        <v xml:space="preserve"> </v>
      </c>
      <c r="AO50" s="86" t="str">
        <f>$AG$5</f>
        <v xml:space="preserve"> </v>
      </c>
      <c r="AP50" s="86" t="str">
        <f>$AG$6</f>
        <v xml:space="preserve"> </v>
      </c>
      <c r="AQ50" s="86" t="str">
        <f>$AG$7</f>
        <v xml:space="preserve"> </v>
      </c>
      <c r="AR50" s="86" t="str">
        <f>$AG$8</f>
        <v xml:space="preserve"> </v>
      </c>
      <c r="AS50" s="86" t="str">
        <f>$AG$9</f>
        <v xml:space="preserve"> </v>
      </c>
      <c r="AT50" s="86" t="str">
        <f>$AG$10</f>
        <v xml:space="preserve"> </v>
      </c>
      <c r="AU50" s="86" t="str">
        <f>$AG$11</f>
        <v xml:space="preserve"> </v>
      </c>
      <c r="AV50" s="86" t="str">
        <f>$AG$12</f>
        <v xml:space="preserve"> </v>
      </c>
      <c r="AW50" s="86" t="str">
        <f>$AG$13</f>
        <v xml:space="preserve"> </v>
      </c>
      <c r="AX50" s="86" t="str">
        <f>$AG$14</f>
        <v xml:space="preserve"> </v>
      </c>
    </row>
    <row r="51" spans="1:85" hidden="1" x14ac:dyDescent="0.15">
      <c r="A51" s="8"/>
      <c r="B51" s="8"/>
    </row>
    <row r="52" spans="1:85" hidden="1" x14ac:dyDescent="0.15">
      <c r="A52" s="8"/>
      <c r="B52" s="8"/>
    </row>
    <row r="53" spans="1:85" hidden="1" x14ac:dyDescent="0.15">
      <c r="A53" s="8"/>
      <c r="B53" s="8"/>
    </row>
    <row r="54" spans="1:85" hidden="1" x14ac:dyDescent="0.15">
      <c r="A54" s="8"/>
      <c r="B54" s="8"/>
    </row>
    <row r="55" spans="1:85" hidden="1" x14ac:dyDescent="0.15">
      <c r="A55" s="8"/>
      <c r="B55" s="8"/>
    </row>
    <row r="56" spans="1:85" hidden="1" x14ac:dyDescent="0.15">
      <c r="A56" s="8"/>
      <c r="B56" s="8"/>
    </row>
    <row r="57" spans="1:85" hidden="1" x14ac:dyDescent="0.15">
      <c r="A57" s="8"/>
      <c r="B57" s="8"/>
    </row>
    <row r="58" spans="1:85" hidden="1" x14ac:dyDescent="0.15">
      <c r="A58" s="8"/>
      <c r="B58" s="8"/>
    </row>
    <row r="59" spans="1:85" ht="15" hidden="1" thickBot="1" x14ac:dyDescent="0.2">
      <c r="A59" s="8"/>
      <c r="B59" s="8"/>
    </row>
    <row r="60" spans="1:85" ht="86.25" customHeight="1" thickBot="1" x14ac:dyDescent="0.2">
      <c r="A60" s="182" t="s">
        <v>28</v>
      </c>
      <c r="B60" s="64" t="s">
        <v>13</v>
      </c>
      <c r="C60" s="10" t="s">
        <v>14</v>
      </c>
      <c r="D60" s="11" t="s">
        <v>15</v>
      </c>
      <c r="E60" s="11" t="s">
        <v>19</v>
      </c>
      <c r="F60" s="11" t="s">
        <v>20</v>
      </c>
      <c r="G60" s="10" t="s">
        <v>51</v>
      </c>
      <c r="H60" s="10" t="s">
        <v>52</v>
      </c>
      <c r="I60" s="10" t="s">
        <v>53</v>
      </c>
      <c r="J60" s="11" t="s">
        <v>54</v>
      </c>
      <c r="K60" s="11" t="s">
        <v>55</v>
      </c>
      <c r="L60" s="11" t="s">
        <v>56</v>
      </c>
      <c r="M60" s="10" t="s">
        <v>16</v>
      </c>
      <c r="N60" s="10" t="s">
        <v>21</v>
      </c>
      <c r="O60" s="10" t="s">
        <v>22</v>
      </c>
      <c r="P60" s="11" t="s">
        <v>60</v>
      </c>
      <c r="Q60" s="11" t="s">
        <v>61</v>
      </c>
      <c r="R60" s="11" t="s">
        <v>62</v>
      </c>
      <c r="S60" s="10" t="s">
        <v>57</v>
      </c>
      <c r="T60" s="10" t="s">
        <v>58</v>
      </c>
      <c r="U60" s="10" t="s">
        <v>59</v>
      </c>
      <c r="V60" s="11" t="s">
        <v>66</v>
      </c>
      <c r="W60" s="11" t="s">
        <v>67</v>
      </c>
      <c r="X60" s="11" t="s">
        <v>68</v>
      </c>
      <c r="Y60" s="10" t="s">
        <v>17</v>
      </c>
      <c r="Z60" s="10" t="s">
        <v>23</v>
      </c>
      <c r="AA60" s="10" t="s">
        <v>24</v>
      </c>
      <c r="AB60" s="11" t="s">
        <v>63</v>
      </c>
      <c r="AC60" s="11" t="s">
        <v>64</v>
      </c>
      <c r="AD60" s="11" t="s">
        <v>65</v>
      </c>
      <c r="AE60" s="10" t="s">
        <v>18</v>
      </c>
      <c r="AF60" s="10" t="s">
        <v>25</v>
      </c>
      <c r="AG60" s="12" t="s">
        <v>26</v>
      </c>
    </row>
    <row r="61" spans="1:85" ht="20" customHeight="1" thickBot="1" x14ac:dyDescent="0.25">
      <c r="A61" s="48" t="str">
        <f>A4</f>
        <v>CTE Participation</v>
      </c>
      <c r="B61" s="109" t="str">
        <f>IFERROR(IF(1-B4=0,"Goal Met",1-B4)," ")</f>
        <v xml:space="preserve"> </v>
      </c>
      <c r="C61" s="110" t="str">
        <f t="shared" ref="C61:AG69" si="0">IFERROR(IF(1-C4=0,"Goal Met",1-C4)," ")</f>
        <v xml:space="preserve"> </v>
      </c>
      <c r="D61" s="110" t="str">
        <f t="shared" si="0"/>
        <v xml:space="preserve"> </v>
      </c>
      <c r="E61" s="110" t="str">
        <f t="shared" si="0"/>
        <v xml:space="preserve"> </v>
      </c>
      <c r="F61" s="110" t="str">
        <f t="shared" si="0"/>
        <v xml:space="preserve"> </v>
      </c>
      <c r="G61" s="110" t="str">
        <f t="shared" si="0"/>
        <v xml:space="preserve"> </v>
      </c>
      <c r="H61" s="110" t="str">
        <f t="shared" si="0"/>
        <v xml:space="preserve"> </v>
      </c>
      <c r="I61" s="110" t="str">
        <f t="shared" si="0"/>
        <v xml:space="preserve"> </v>
      </c>
      <c r="J61" s="110" t="str">
        <f t="shared" si="0"/>
        <v xml:space="preserve"> </v>
      </c>
      <c r="K61" s="110" t="str">
        <f t="shared" si="0"/>
        <v xml:space="preserve"> </v>
      </c>
      <c r="L61" s="110" t="str">
        <f t="shared" si="0"/>
        <v xml:space="preserve"> </v>
      </c>
      <c r="M61" s="110" t="str">
        <f t="shared" si="0"/>
        <v xml:space="preserve"> </v>
      </c>
      <c r="N61" s="110" t="str">
        <f t="shared" si="0"/>
        <v xml:space="preserve"> </v>
      </c>
      <c r="O61" s="110" t="str">
        <f t="shared" si="0"/>
        <v xml:space="preserve"> </v>
      </c>
      <c r="P61" s="110" t="str">
        <f t="shared" si="0"/>
        <v xml:space="preserve"> </v>
      </c>
      <c r="Q61" s="110" t="str">
        <f t="shared" si="0"/>
        <v xml:space="preserve"> </v>
      </c>
      <c r="R61" s="110" t="str">
        <f t="shared" si="0"/>
        <v xml:space="preserve"> </v>
      </c>
      <c r="S61" s="110" t="str">
        <f t="shared" si="0"/>
        <v xml:space="preserve"> </v>
      </c>
      <c r="T61" s="110" t="str">
        <f t="shared" si="0"/>
        <v xml:space="preserve"> </v>
      </c>
      <c r="U61" s="110" t="str">
        <f t="shared" si="0"/>
        <v xml:space="preserve"> </v>
      </c>
      <c r="V61" s="110" t="str">
        <f t="shared" si="0"/>
        <v xml:space="preserve"> </v>
      </c>
      <c r="W61" s="110" t="str">
        <f t="shared" si="0"/>
        <v xml:space="preserve"> </v>
      </c>
      <c r="X61" s="110" t="str">
        <f t="shared" si="0"/>
        <v xml:space="preserve"> </v>
      </c>
      <c r="Y61" s="110" t="str">
        <f t="shared" si="0"/>
        <v xml:space="preserve"> </v>
      </c>
      <c r="Z61" s="110" t="str">
        <f t="shared" si="0"/>
        <v xml:space="preserve"> </v>
      </c>
      <c r="AA61" s="110" t="str">
        <f t="shared" si="0"/>
        <v xml:space="preserve"> </v>
      </c>
      <c r="AB61" s="110" t="str">
        <f t="shared" si="0"/>
        <v xml:space="preserve"> </v>
      </c>
      <c r="AC61" s="110" t="str">
        <f t="shared" si="0"/>
        <v xml:space="preserve"> </v>
      </c>
      <c r="AD61" s="110" t="str">
        <f t="shared" si="0"/>
        <v xml:space="preserve"> </v>
      </c>
      <c r="AE61" s="110" t="str">
        <f t="shared" si="0"/>
        <v xml:space="preserve"> </v>
      </c>
      <c r="AF61" s="110" t="str">
        <f t="shared" si="0"/>
        <v xml:space="preserve"> </v>
      </c>
      <c r="AG61" s="110" t="str">
        <f t="shared" si="0"/>
        <v xml:space="preserve"> </v>
      </c>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c r="CA61" s="86"/>
      <c r="CB61" s="86"/>
      <c r="CC61" s="86"/>
      <c r="CD61" s="86"/>
      <c r="CE61" s="86"/>
      <c r="CF61" s="86"/>
      <c r="CG61" s="86"/>
    </row>
    <row r="62" spans="1:85" ht="20" customHeight="1" x14ac:dyDescent="0.2">
      <c r="A62" s="48" t="str">
        <f t="shared" ref="A62:A71" si="1">A5</f>
        <v>HWHD CTE Participation</v>
      </c>
      <c r="B62" s="84" t="str">
        <f t="shared" ref="B62:Q71" si="2">IFERROR(IF(1-B5=0,"Goal Met",1-B5)," ")</f>
        <v xml:space="preserve"> </v>
      </c>
      <c r="C62" s="85" t="str">
        <f t="shared" si="2"/>
        <v xml:space="preserve"> </v>
      </c>
      <c r="D62" s="85" t="str">
        <f t="shared" si="2"/>
        <v xml:space="preserve"> </v>
      </c>
      <c r="E62" s="85" t="str">
        <f t="shared" si="2"/>
        <v xml:space="preserve"> </v>
      </c>
      <c r="F62" s="85" t="str">
        <f t="shared" si="2"/>
        <v xml:space="preserve"> </v>
      </c>
      <c r="G62" s="85" t="str">
        <f t="shared" si="2"/>
        <v xml:space="preserve"> </v>
      </c>
      <c r="H62" s="85" t="str">
        <f t="shared" si="2"/>
        <v xml:space="preserve"> </v>
      </c>
      <c r="I62" s="85" t="str">
        <f t="shared" si="2"/>
        <v xml:space="preserve"> </v>
      </c>
      <c r="J62" s="85" t="str">
        <f t="shared" si="2"/>
        <v xml:space="preserve"> </v>
      </c>
      <c r="K62" s="85" t="str">
        <f t="shared" si="2"/>
        <v xml:space="preserve"> </v>
      </c>
      <c r="L62" s="85" t="str">
        <f t="shared" si="2"/>
        <v xml:space="preserve"> </v>
      </c>
      <c r="M62" s="85" t="str">
        <f t="shared" si="2"/>
        <v xml:space="preserve"> </v>
      </c>
      <c r="N62" s="85" t="str">
        <f t="shared" si="2"/>
        <v xml:space="preserve"> </v>
      </c>
      <c r="O62" s="85" t="str">
        <f t="shared" si="2"/>
        <v xml:space="preserve"> </v>
      </c>
      <c r="P62" s="85" t="str">
        <f t="shared" si="2"/>
        <v xml:space="preserve"> </v>
      </c>
      <c r="Q62" s="85" t="str">
        <f t="shared" si="2"/>
        <v xml:space="preserve"> </v>
      </c>
      <c r="R62" s="85" t="str">
        <f t="shared" si="0"/>
        <v xml:space="preserve"> </v>
      </c>
      <c r="S62" s="85" t="str">
        <f t="shared" si="0"/>
        <v xml:space="preserve"> </v>
      </c>
      <c r="T62" s="85" t="str">
        <f t="shared" si="0"/>
        <v xml:space="preserve"> </v>
      </c>
      <c r="U62" s="85" t="str">
        <f t="shared" si="0"/>
        <v xml:space="preserve"> </v>
      </c>
      <c r="V62" s="85" t="str">
        <f t="shared" si="0"/>
        <v xml:space="preserve"> </v>
      </c>
      <c r="W62" s="85" t="str">
        <f t="shared" si="0"/>
        <v xml:space="preserve"> </v>
      </c>
      <c r="X62" s="85" t="str">
        <f t="shared" si="0"/>
        <v xml:space="preserve"> </v>
      </c>
      <c r="Y62" s="85" t="str">
        <f t="shared" si="0"/>
        <v xml:space="preserve"> </v>
      </c>
      <c r="Z62" s="85" t="str">
        <f t="shared" si="0"/>
        <v xml:space="preserve"> </v>
      </c>
      <c r="AA62" s="85" t="str">
        <f t="shared" si="0"/>
        <v xml:space="preserve"> </v>
      </c>
      <c r="AB62" s="85" t="str">
        <f t="shared" si="0"/>
        <v xml:space="preserve"> </v>
      </c>
      <c r="AC62" s="85" t="str">
        <f t="shared" si="0"/>
        <v xml:space="preserve"> </v>
      </c>
      <c r="AD62" s="85" t="str">
        <f t="shared" si="0"/>
        <v xml:space="preserve"> </v>
      </c>
      <c r="AE62" s="85" t="str">
        <f t="shared" si="0"/>
        <v xml:space="preserve"> </v>
      </c>
      <c r="AF62" s="85" t="str">
        <f t="shared" si="0"/>
        <v xml:space="preserve"> </v>
      </c>
      <c r="AG62" s="85" t="str">
        <f t="shared" si="0"/>
        <v xml:space="preserve"> </v>
      </c>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row>
    <row r="63" spans="1:85" ht="20" customHeight="1" x14ac:dyDescent="0.2">
      <c r="A63" s="48" t="str">
        <f t="shared" si="1"/>
        <v>CTE Concentration</v>
      </c>
      <c r="B63" s="84" t="str">
        <f t="shared" si="2"/>
        <v xml:space="preserve"> </v>
      </c>
      <c r="C63" s="85" t="str">
        <f t="shared" si="0"/>
        <v xml:space="preserve"> </v>
      </c>
      <c r="D63" s="85" t="str">
        <f t="shared" si="0"/>
        <v xml:space="preserve"> </v>
      </c>
      <c r="E63" s="85" t="str">
        <f t="shared" si="0"/>
        <v xml:space="preserve"> </v>
      </c>
      <c r="F63" s="85" t="str">
        <f t="shared" si="0"/>
        <v xml:space="preserve"> </v>
      </c>
      <c r="G63" s="85" t="str">
        <f t="shared" si="0"/>
        <v xml:space="preserve"> </v>
      </c>
      <c r="H63" s="85" t="str">
        <f t="shared" si="0"/>
        <v xml:space="preserve"> </v>
      </c>
      <c r="I63" s="85" t="str">
        <f t="shared" si="0"/>
        <v xml:space="preserve"> </v>
      </c>
      <c r="J63" s="85" t="str">
        <f t="shared" si="0"/>
        <v xml:space="preserve"> </v>
      </c>
      <c r="K63" s="85" t="str">
        <f t="shared" si="0"/>
        <v xml:space="preserve"> </v>
      </c>
      <c r="L63" s="85" t="str">
        <f t="shared" si="0"/>
        <v xml:space="preserve"> </v>
      </c>
      <c r="M63" s="85" t="str">
        <f t="shared" si="0"/>
        <v xml:space="preserve"> </v>
      </c>
      <c r="N63" s="85" t="str">
        <f t="shared" si="0"/>
        <v xml:space="preserve"> </v>
      </c>
      <c r="O63" s="85" t="str">
        <f t="shared" si="0"/>
        <v xml:space="preserve"> </v>
      </c>
      <c r="P63" s="85" t="str">
        <f t="shared" si="0"/>
        <v xml:space="preserve"> </v>
      </c>
      <c r="Q63" s="85" t="str">
        <f t="shared" si="0"/>
        <v xml:space="preserve"> </v>
      </c>
      <c r="R63" s="85" t="str">
        <f t="shared" si="0"/>
        <v xml:space="preserve"> </v>
      </c>
      <c r="S63" s="85" t="str">
        <f t="shared" si="0"/>
        <v xml:space="preserve"> </v>
      </c>
      <c r="T63" s="85" t="str">
        <f t="shared" si="0"/>
        <v xml:space="preserve"> </v>
      </c>
      <c r="U63" s="85" t="str">
        <f t="shared" si="0"/>
        <v xml:space="preserve"> </v>
      </c>
      <c r="V63" s="85" t="str">
        <f t="shared" si="0"/>
        <v xml:space="preserve"> </v>
      </c>
      <c r="W63" s="85" t="str">
        <f t="shared" si="0"/>
        <v xml:space="preserve"> </v>
      </c>
      <c r="X63" s="85" t="str">
        <f t="shared" si="0"/>
        <v xml:space="preserve"> </v>
      </c>
      <c r="Y63" s="85" t="str">
        <f t="shared" si="0"/>
        <v xml:space="preserve"> </v>
      </c>
      <c r="Z63" s="85" t="str">
        <f t="shared" si="0"/>
        <v xml:space="preserve"> </v>
      </c>
      <c r="AA63" s="85" t="str">
        <f t="shared" si="0"/>
        <v xml:space="preserve"> </v>
      </c>
      <c r="AB63" s="85" t="str">
        <f t="shared" si="0"/>
        <v xml:space="preserve"> </v>
      </c>
      <c r="AC63" s="85" t="str">
        <f t="shared" si="0"/>
        <v xml:space="preserve"> </v>
      </c>
      <c r="AD63" s="85" t="str">
        <f t="shared" si="0"/>
        <v xml:space="preserve"> </v>
      </c>
      <c r="AE63" s="85" t="str">
        <f t="shared" si="0"/>
        <v xml:space="preserve"> </v>
      </c>
      <c r="AF63" s="85" t="str">
        <f t="shared" si="0"/>
        <v xml:space="preserve"> </v>
      </c>
      <c r="AG63" s="85" t="str">
        <f t="shared" si="0"/>
        <v xml:space="preserve"> </v>
      </c>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row>
    <row r="64" spans="1:85" ht="20" customHeight="1" x14ac:dyDescent="0.2">
      <c r="A64" s="48" t="str">
        <f t="shared" si="1"/>
        <v>HWHD CTE Concentration</v>
      </c>
      <c r="B64" s="84" t="str">
        <f t="shared" si="2"/>
        <v xml:space="preserve"> </v>
      </c>
      <c r="C64" s="85" t="str">
        <f t="shared" si="0"/>
        <v xml:space="preserve"> </v>
      </c>
      <c r="D64" s="85" t="str">
        <f t="shared" si="0"/>
        <v xml:space="preserve"> </v>
      </c>
      <c r="E64" s="85" t="str">
        <f t="shared" si="0"/>
        <v xml:space="preserve"> </v>
      </c>
      <c r="F64" s="85" t="str">
        <f t="shared" si="0"/>
        <v xml:space="preserve"> </v>
      </c>
      <c r="G64" s="85" t="str">
        <f t="shared" si="0"/>
        <v xml:space="preserve"> </v>
      </c>
      <c r="H64" s="85" t="str">
        <f t="shared" si="0"/>
        <v xml:space="preserve"> </v>
      </c>
      <c r="I64" s="85" t="str">
        <f t="shared" si="0"/>
        <v xml:space="preserve"> </v>
      </c>
      <c r="J64" s="85" t="str">
        <f t="shared" si="0"/>
        <v xml:space="preserve"> </v>
      </c>
      <c r="K64" s="85" t="str">
        <f t="shared" si="0"/>
        <v xml:space="preserve"> </v>
      </c>
      <c r="L64" s="85" t="str">
        <f t="shared" si="0"/>
        <v xml:space="preserve"> </v>
      </c>
      <c r="M64" s="85" t="str">
        <f t="shared" si="0"/>
        <v xml:space="preserve"> </v>
      </c>
      <c r="N64" s="85" t="str">
        <f t="shared" si="0"/>
        <v xml:space="preserve"> </v>
      </c>
      <c r="O64" s="85" t="str">
        <f t="shared" si="0"/>
        <v xml:space="preserve"> </v>
      </c>
      <c r="P64" s="85" t="str">
        <f t="shared" si="0"/>
        <v xml:space="preserve"> </v>
      </c>
      <c r="Q64" s="85" t="str">
        <f t="shared" si="0"/>
        <v xml:space="preserve"> </v>
      </c>
      <c r="R64" s="85" t="str">
        <f t="shared" si="0"/>
        <v xml:space="preserve"> </v>
      </c>
      <c r="S64" s="85" t="str">
        <f t="shared" si="0"/>
        <v xml:space="preserve"> </v>
      </c>
      <c r="T64" s="85" t="str">
        <f t="shared" si="0"/>
        <v xml:space="preserve"> </v>
      </c>
      <c r="U64" s="85" t="str">
        <f t="shared" si="0"/>
        <v xml:space="preserve"> </v>
      </c>
      <c r="V64" s="85" t="str">
        <f t="shared" si="0"/>
        <v xml:space="preserve"> </v>
      </c>
      <c r="W64" s="85" t="str">
        <f t="shared" si="0"/>
        <v xml:space="preserve"> </v>
      </c>
      <c r="X64" s="85" t="str">
        <f t="shared" si="0"/>
        <v xml:space="preserve"> </v>
      </c>
      <c r="Y64" s="85" t="str">
        <f t="shared" si="0"/>
        <v xml:space="preserve"> </v>
      </c>
      <c r="Z64" s="85" t="str">
        <f t="shared" si="0"/>
        <v xml:space="preserve"> </v>
      </c>
      <c r="AA64" s="85" t="str">
        <f t="shared" si="0"/>
        <v xml:space="preserve"> </v>
      </c>
      <c r="AB64" s="85" t="str">
        <f t="shared" si="0"/>
        <v xml:space="preserve"> </v>
      </c>
      <c r="AC64" s="85" t="str">
        <f t="shared" si="0"/>
        <v xml:space="preserve"> </v>
      </c>
      <c r="AD64" s="85" t="str">
        <f t="shared" si="0"/>
        <v xml:space="preserve"> </v>
      </c>
      <c r="AE64" s="85" t="str">
        <f t="shared" si="0"/>
        <v xml:space="preserve"> </v>
      </c>
      <c r="AF64" s="85" t="str">
        <f t="shared" si="0"/>
        <v xml:space="preserve"> </v>
      </c>
      <c r="AG64" s="85" t="str">
        <f t="shared" si="0"/>
        <v xml:space="preserve"> </v>
      </c>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row>
    <row r="65" spans="1:33" ht="20" customHeight="1" x14ac:dyDescent="0.2">
      <c r="A65" s="48" t="str">
        <f t="shared" si="1"/>
        <v>WBL Completion</v>
      </c>
      <c r="B65" s="84" t="str">
        <f t="shared" si="2"/>
        <v xml:space="preserve"> </v>
      </c>
      <c r="C65" s="85" t="str">
        <f t="shared" si="0"/>
        <v xml:space="preserve"> </v>
      </c>
      <c r="D65" s="85" t="str">
        <f t="shared" si="0"/>
        <v xml:space="preserve"> </v>
      </c>
      <c r="E65" s="85" t="str">
        <f t="shared" si="0"/>
        <v xml:space="preserve"> </v>
      </c>
      <c r="F65" s="85" t="str">
        <f t="shared" si="0"/>
        <v xml:space="preserve"> </v>
      </c>
      <c r="G65" s="85" t="str">
        <f t="shared" si="0"/>
        <v xml:space="preserve"> </v>
      </c>
      <c r="H65" s="85" t="str">
        <f t="shared" si="0"/>
        <v xml:space="preserve"> </v>
      </c>
      <c r="I65" s="85" t="str">
        <f t="shared" si="0"/>
        <v xml:space="preserve"> </v>
      </c>
      <c r="J65" s="85" t="str">
        <f t="shared" si="0"/>
        <v xml:space="preserve"> </v>
      </c>
      <c r="K65" s="85" t="str">
        <f t="shared" si="0"/>
        <v xml:space="preserve"> </v>
      </c>
      <c r="L65" s="85" t="str">
        <f t="shared" si="0"/>
        <v xml:space="preserve"> </v>
      </c>
      <c r="M65" s="85" t="str">
        <f t="shared" si="0"/>
        <v xml:space="preserve"> </v>
      </c>
      <c r="N65" s="85" t="str">
        <f t="shared" si="0"/>
        <v xml:space="preserve"> </v>
      </c>
      <c r="O65" s="85" t="str">
        <f t="shared" si="0"/>
        <v xml:space="preserve"> </v>
      </c>
      <c r="P65" s="85" t="str">
        <f t="shared" si="0"/>
        <v xml:space="preserve"> </v>
      </c>
      <c r="Q65" s="85" t="str">
        <f t="shared" si="0"/>
        <v xml:space="preserve"> </v>
      </c>
      <c r="R65" s="85" t="str">
        <f t="shared" si="0"/>
        <v xml:space="preserve"> </v>
      </c>
      <c r="S65" s="85" t="str">
        <f t="shared" si="0"/>
        <v xml:space="preserve"> </v>
      </c>
      <c r="T65" s="85" t="str">
        <f t="shared" si="0"/>
        <v xml:space="preserve"> </v>
      </c>
      <c r="U65" s="85" t="str">
        <f t="shared" si="0"/>
        <v xml:space="preserve"> </v>
      </c>
      <c r="V65" s="85" t="str">
        <f t="shared" si="0"/>
        <v xml:space="preserve"> </v>
      </c>
      <c r="W65" s="85" t="str">
        <f t="shared" si="0"/>
        <v xml:space="preserve"> </v>
      </c>
      <c r="X65" s="85" t="str">
        <f t="shared" si="0"/>
        <v xml:space="preserve"> </v>
      </c>
      <c r="Y65" s="85" t="str">
        <f t="shared" si="0"/>
        <v xml:space="preserve"> </v>
      </c>
      <c r="Z65" s="85" t="str">
        <f t="shared" si="0"/>
        <v xml:space="preserve"> </v>
      </c>
      <c r="AA65" s="85" t="str">
        <f t="shared" si="0"/>
        <v xml:space="preserve"> </v>
      </c>
      <c r="AB65" s="85" t="str">
        <f t="shared" si="0"/>
        <v xml:space="preserve"> </v>
      </c>
      <c r="AC65" s="85" t="str">
        <f t="shared" si="0"/>
        <v xml:space="preserve"> </v>
      </c>
      <c r="AD65" s="85" t="str">
        <f t="shared" si="0"/>
        <v xml:space="preserve"> </v>
      </c>
      <c r="AE65" s="85" t="str">
        <f t="shared" si="0"/>
        <v xml:space="preserve"> </v>
      </c>
      <c r="AF65" s="85" t="str">
        <f t="shared" si="0"/>
        <v xml:space="preserve"> </v>
      </c>
      <c r="AG65" s="85" t="str">
        <f t="shared" si="0"/>
        <v xml:space="preserve"> </v>
      </c>
    </row>
    <row r="66" spans="1:33" ht="20" customHeight="1" x14ac:dyDescent="0.2">
      <c r="A66" s="48" t="str">
        <f t="shared" si="1"/>
        <v>Advanced Coursework Completion</v>
      </c>
      <c r="B66" s="84" t="str">
        <f t="shared" si="2"/>
        <v xml:space="preserve"> </v>
      </c>
      <c r="C66" s="85" t="str">
        <f t="shared" si="0"/>
        <v xml:space="preserve"> </v>
      </c>
      <c r="D66" s="85" t="str">
        <f t="shared" si="0"/>
        <v xml:space="preserve"> </v>
      </c>
      <c r="E66" s="85" t="str">
        <f t="shared" si="0"/>
        <v xml:space="preserve"> </v>
      </c>
      <c r="F66" s="85" t="str">
        <f t="shared" si="0"/>
        <v xml:space="preserve"> </v>
      </c>
      <c r="G66" s="85" t="str">
        <f t="shared" si="0"/>
        <v xml:space="preserve"> </v>
      </c>
      <c r="H66" s="85" t="str">
        <f t="shared" si="0"/>
        <v xml:space="preserve"> </v>
      </c>
      <c r="I66" s="85" t="str">
        <f t="shared" si="0"/>
        <v xml:space="preserve"> </v>
      </c>
      <c r="J66" s="85" t="str">
        <f t="shared" si="0"/>
        <v xml:space="preserve"> </v>
      </c>
      <c r="K66" s="85" t="str">
        <f t="shared" si="0"/>
        <v xml:space="preserve"> </v>
      </c>
      <c r="L66" s="85" t="str">
        <f t="shared" si="0"/>
        <v xml:space="preserve"> </v>
      </c>
      <c r="M66" s="85" t="str">
        <f t="shared" si="0"/>
        <v xml:space="preserve"> </v>
      </c>
      <c r="N66" s="85" t="str">
        <f t="shared" si="0"/>
        <v xml:space="preserve"> </v>
      </c>
      <c r="O66" s="85" t="str">
        <f t="shared" si="0"/>
        <v xml:space="preserve"> </v>
      </c>
      <c r="P66" s="85" t="str">
        <f t="shared" si="0"/>
        <v xml:space="preserve"> </v>
      </c>
      <c r="Q66" s="85" t="str">
        <f t="shared" si="0"/>
        <v xml:space="preserve"> </v>
      </c>
      <c r="R66" s="85" t="str">
        <f t="shared" si="0"/>
        <v xml:space="preserve"> </v>
      </c>
      <c r="S66" s="85" t="str">
        <f t="shared" si="0"/>
        <v xml:space="preserve"> </v>
      </c>
      <c r="T66" s="85" t="str">
        <f t="shared" si="0"/>
        <v xml:space="preserve"> </v>
      </c>
      <c r="U66" s="85" t="str">
        <f t="shared" si="0"/>
        <v xml:space="preserve"> </v>
      </c>
      <c r="V66" s="85" t="str">
        <f t="shared" si="0"/>
        <v xml:space="preserve"> </v>
      </c>
      <c r="W66" s="85" t="str">
        <f t="shared" si="0"/>
        <v xml:space="preserve"> </v>
      </c>
      <c r="X66" s="85" t="str">
        <f t="shared" si="0"/>
        <v xml:space="preserve"> </v>
      </c>
      <c r="Y66" s="85" t="str">
        <f t="shared" si="0"/>
        <v xml:space="preserve"> </v>
      </c>
      <c r="Z66" s="85" t="str">
        <f t="shared" si="0"/>
        <v xml:space="preserve"> </v>
      </c>
      <c r="AA66" s="85" t="str">
        <f t="shared" si="0"/>
        <v xml:space="preserve"> </v>
      </c>
      <c r="AB66" s="85" t="str">
        <f t="shared" si="0"/>
        <v xml:space="preserve"> </v>
      </c>
      <c r="AC66" s="85" t="str">
        <f t="shared" si="0"/>
        <v xml:space="preserve"> </v>
      </c>
      <c r="AD66" s="85" t="str">
        <f t="shared" si="0"/>
        <v xml:space="preserve"> </v>
      </c>
      <c r="AE66" s="85" t="str">
        <f t="shared" si="0"/>
        <v xml:space="preserve"> </v>
      </c>
      <c r="AF66" s="85" t="str">
        <f t="shared" si="0"/>
        <v xml:space="preserve"> </v>
      </c>
      <c r="AG66" s="85" t="str">
        <f t="shared" si="0"/>
        <v xml:space="preserve"> </v>
      </c>
    </row>
    <row r="67" spans="1:33" ht="20" customHeight="1" x14ac:dyDescent="0.2">
      <c r="A67" s="48" t="str">
        <f t="shared" si="1"/>
        <v>Credential Completion</v>
      </c>
      <c r="B67" s="84" t="str">
        <f t="shared" si="2"/>
        <v xml:space="preserve"> </v>
      </c>
      <c r="C67" s="85" t="str">
        <f t="shared" si="0"/>
        <v xml:space="preserve"> </v>
      </c>
      <c r="D67" s="85" t="str">
        <f t="shared" si="0"/>
        <v xml:space="preserve"> </v>
      </c>
      <c r="E67" s="85" t="str">
        <f t="shared" si="0"/>
        <v xml:space="preserve"> </v>
      </c>
      <c r="F67" s="85" t="str">
        <f t="shared" si="0"/>
        <v xml:space="preserve"> </v>
      </c>
      <c r="G67" s="85" t="str">
        <f t="shared" si="0"/>
        <v xml:space="preserve"> </v>
      </c>
      <c r="H67" s="85" t="str">
        <f t="shared" si="0"/>
        <v xml:space="preserve"> </v>
      </c>
      <c r="I67" s="85" t="str">
        <f t="shared" si="0"/>
        <v xml:space="preserve"> </v>
      </c>
      <c r="J67" s="85" t="str">
        <f t="shared" si="0"/>
        <v xml:space="preserve"> </v>
      </c>
      <c r="K67" s="85" t="str">
        <f t="shared" si="0"/>
        <v xml:space="preserve"> </v>
      </c>
      <c r="L67" s="85" t="str">
        <f t="shared" si="0"/>
        <v xml:space="preserve"> </v>
      </c>
      <c r="M67" s="85" t="str">
        <f t="shared" si="0"/>
        <v xml:space="preserve"> </v>
      </c>
      <c r="N67" s="85" t="str">
        <f t="shared" si="0"/>
        <v xml:space="preserve"> </v>
      </c>
      <c r="O67" s="85" t="str">
        <f t="shared" si="0"/>
        <v xml:space="preserve"> </v>
      </c>
      <c r="P67" s="85" t="str">
        <f t="shared" si="0"/>
        <v xml:space="preserve"> </v>
      </c>
      <c r="Q67" s="85" t="str">
        <f t="shared" si="0"/>
        <v xml:space="preserve"> </v>
      </c>
      <c r="R67" s="85" t="str">
        <f t="shared" si="0"/>
        <v xml:space="preserve"> </v>
      </c>
      <c r="S67" s="85" t="str">
        <f t="shared" si="0"/>
        <v xml:space="preserve"> </v>
      </c>
      <c r="T67" s="85" t="str">
        <f t="shared" si="0"/>
        <v xml:space="preserve"> </v>
      </c>
      <c r="U67" s="85" t="str">
        <f t="shared" si="0"/>
        <v xml:space="preserve"> </v>
      </c>
      <c r="V67" s="85" t="str">
        <f t="shared" si="0"/>
        <v xml:space="preserve"> </v>
      </c>
      <c r="W67" s="85" t="str">
        <f t="shared" si="0"/>
        <v xml:space="preserve"> </v>
      </c>
      <c r="X67" s="85" t="str">
        <f t="shared" si="0"/>
        <v xml:space="preserve"> </v>
      </c>
      <c r="Y67" s="85" t="str">
        <f t="shared" si="0"/>
        <v xml:space="preserve"> </v>
      </c>
      <c r="Z67" s="85" t="str">
        <f t="shared" si="0"/>
        <v xml:space="preserve"> </v>
      </c>
      <c r="AA67" s="85" t="str">
        <f t="shared" si="0"/>
        <v xml:space="preserve"> </v>
      </c>
      <c r="AB67" s="85" t="str">
        <f t="shared" si="0"/>
        <v xml:space="preserve"> </v>
      </c>
      <c r="AC67" s="85" t="str">
        <f t="shared" si="0"/>
        <v xml:space="preserve"> </v>
      </c>
      <c r="AD67" s="85" t="str">
        <f t="shared" si="0"/>
        <v xml:space="preserve"> </v>
      </c>
      <c r="AE67" s="85" t="str">
        <f t="shared" si="0"/>
        <v xml:space="preserve"> </v>
      </c>
      <c r="AF67" s="85" t="str">
        <f t="shared" si="0"/>
        <v xml:space="preserve"> </v>
      </c>
      <c r="AG67" s="85" t="str">
        <f t="shared" si="0"/>
        <v xml:space="preserve"> </v>
      </c>
    </row>
    <row r="68" spans="1:33" ht="20" customHeight="1" x14ac:dyDescent="0.2">
      <c r="A68" s="48" t="str">
        <f t="shared" si="1"/>
        <v>Placement</v>
      </c>
      <c r="B68" s="84" t="str">
        <f t="shared" si="2"/>
        <v xml:space="preserve"> </v>
      </c>
      <c r="C68" s="85" t="str">
        <f t="shared" si="0"/>
        <v xml:space="preserve"> </v>
      </c>
      <c r="D68" s="85" t="str">
        <f t="shared" si="0"/>
        <v xml:space="preserve"> </v>
      </c>
      <c r="E68" s="85" t="str">
        <f t="shared" si="0"/>
        <v xml:space="preserve"> </v>
      </c>
      <c r="F68" s="85" t="str">
        <f t="shared" si="0"/>
        <v xml:space="preserve"> </v>
      </c>
      <c r="G68" s="85" t="str">
        <f t="shared" si="0"/>
        <v xml:space="preserve"> </v>
      </c>
      <c r="H68" s="85" t="str">
        <f t="shared" si="0"/>
        <v xml:space="preserve"> </v>
      </c>
      <c r="I68" s="85" t="str">
        <f t="shared" si="0"/>
        <v xml:space="preserve"> </v>
      </c>
      <c r="J68" s="85" t="str">
        <f t="shared" si="0"/>
        <v xml:space="preserve"> </v>
      </c>
      <c r="K68" s="85" t="str">
        <f t="shared" si="0"/>
        <v xml:space="preserve"> </v>
      </c>
      <c r="L68" s="85" t="str">
        <f t="shared" si="0"/>
        <v xml:space="preserve"> </v>
      </c>
      <c r="M68" s="85" t="str">
        <f t="shared" si="0"/>
        <v xml:space="preserve"> </v>
      </c>
      <c r="N68" s="85" t="str">
        <f t="shared" si="0"/>
        <v xml:space="preserve"> </v>
      </c>
      <c r="O68" s="85" t="str">
        <f t="shared" si="0"/>
        <v xml:space="preserve"> </v>
      </c>
      <c r="P68" s="85" t="str">
        <f t="shared" si="0"/>
        <v xml:space="preserve"> </v>
      </c>
      <c r="Q68" s="85" t="str">
        <f t="shared" si="0"/>
        <v xml:space="preserve"> </v>
      </c>
      <c r="R68" s="85" t="str">
        <f t="shared" si="0"/>
        <v xml:space="preserve"> </v>
      </c>
      <c r="S68" s="85" t="str">
        <f t="shared" si="0"/>
        <v xml:space="preserve"> </v>
      </c>
      <c r="T68" s="85" t="str">
        <f t="shared" si="0"/>
        <v xml:space="preserve"> </v>
      </c>
      <c r="U68" s="85" t="str">
        <f t="shared" si="0"/>
        <v xml:space="preserve"> </v>
      </c>
      <c r="V68" s="85" t="str">
        <f t="shared" si="0"/>
        <v xml:space="preserve"> </v>
      </c>
      <c r="W68" s="85" t="str">
        <f t="shared" si="0"/>
        <v xml:space="preserve"> </v>
      </c>
      <c r="X68" s="85" t="str">
        <f t="shared" si="0"/>
        <v xml:space="preserve"> </v>
      </c>
      <c r="Y68" s="85" t="str">
        <f t="shared" si="0"/>
        <v xml:space="preserve"> </v>
      </c>
      <c r="Z68" s="85" t="str">
        <f t="shared" si="0"/>
        <v xml:space="preserve"> </v>
      </c>
      <c r="AA68" s="85" t="str">
        <f t="shared" si="0"/>
        <v xml:space="preserve"> </v>
      </c>
      <c r="AB68" s="85" t="str">
        <f t="shared" si="0"/>
        <v xml:space="preserve"> </v>
      </c>
      <c r="AC68" s="85" t="str">
        <f t="shared" si="0"/>
        <v xml:space="preserve"> </v>
      </c>
      <c r="AD68" s="85" t="str">
        <f t="shared" si="0"/>
        <v xml:space="preserve"> </v>
      </c>
      <c r="AE68" s="85" t="str">
        <f t="shared" si="0"/>
        <v xml:space="preserve"> </v>
      </c>
      <c r="AF68" s="85" t="str">
        <f t="shared" si="0"/>
        <v xml:space="preserve"> </v>
      </c>
      <c r="AG68" s="85" t="str">
        <f t="shared" si="0"/>
        <v xml:space="preserve"> </v>
      </c>
    </row>
    <row r="69" spans="1:33" ht="20" customHeight="1" x14ac:dyDescent="0.2">
      <c r="A69" s="48" t="str">
        <f t="shared" si="1"/>
        <v>HWHD Placement</v>
      </c>
      <c r="B69" s="84" t="str">
        <f t="shared" si="2"/>
        <v xml:space="preserve"> </v>
      </c>
      <c r="C69" s="85" t="str">
        <f t="shared" si="0"/>
        <v xml:space="preserve"> </v>
      </c>
      <c r="D69" s="85" t="str">
        <f t="shared" si="0"/>
        <v xml:space="preserve"> </v>
      </c>
      <c r="E69" s="85" t="str">
        <f t="shared" si="0"/>
        <v xml:space="preserve"> </v>
      </c>
      <c r="F69" s="85" t="str">
        <f t="shared" si="0"/>
        <v xml:space="preserve"> </v>
      </c>
      <c r="G69" s="85" t="str">
        <f t="shared" si="0"/>
        <v xml:space="preserve"> </v>
      </c>
      <c r="H69" s="85" t="str">
        <f t="shared" si="0"/>
        <v xml:space="preserve"> </v>
      </c>
      <c r="I69" s="85" t="str">
        <f t="shared" si="0"/>
        <v xml:space="preserve"> </v>
      </c>
      <c r="J69" s="85" t="str">
        <f t="shared" si="0"/>
        <v xml:space="preserve"> </v>
      </c>
      <c r="K69" s="85" t="str">
        <f t="shared" si="0"/>
        <v xml:space="preserve"> </v>
      </c>
      <c r="L69" s="85" t="str">
        <f t="shared" si="0"/>
        <v xml:space="preserve"> </v>
      </c>
      <c r="M69" s="85" t="str">
        <f t="shared" si="0"/>
        <v xml:space="preserve"> </v>
      </c>
      <c r="N69" s="85" t="str">
        <f t="shared" si="0"/>
        <v xml:space="preserve"> </v>
      </c>
      <c r="O69" s="85" t="str">
        <f t="shared" si="0"/>
        <v xml:space="preserve"> </v>
      </c>
      <c r="P69" s="85" t="str">
        <f t="shared" si="0"/>
        <v xml:space="preserve"> </v>
      </c>
      <c r="Q69" s="85" t="str">
        <f t="shared" si="0"/>
        <v xml:space="preserve"> </v>
      </c>
      <c r="R69" s="85" t="str">
        <f t="shared" si="0"/>
        <v xml:space="preserve"> </v>
      </c>
      <c r="S69" s="85" t="str">
        <f t="shared" si="0"/>
        <v xml:space="preserve"> </v>
      </c>
      <c r="T69" s="85" t="str">
        <f t="shared" si="0"/>
        <v xml:space="preserve"> </v>
      </c>
      <c r="U69" s="85" t="str">
        <f t="shared" si="0"/>
        <v xml:space="preserve"> </v>
      </c>
      <c r="V69" s="85" t="str">
        <f t="shared" si="0"/>
        <v xml:space="preserve"> </v>
      </c>
      <c r="W69" s="85" t="str">
        <f t="shared" si="0"/>
        <v xml:space="preserve"> </v>
      </c>
      <c r="X69" s="85" t="str">
        <f t="shared" si="0"/>
        <v xml:space="preserve"> </v>
      </c>
      <c r="Y69" s="85" t="str">
        <f t="shared" ref="C69:AG71" si="3">IFERROR(IF(1-Y12=0,"Goal Met",1-Y12)," ")</f>
        <v xml:space="preserve"> </v>
      </c>
      <c r="Z69" s="85" t="str">
        <f t="shared" si="3"/>
        <v xml:space="preserve"> </v>
      </c>
      <c r="AA69" s="85" t="str">
        <f t="shared" si="3"/>
        <v xml:space="preserve"> </v>
      </c>
      <c r="AB69" s="85" t="str">
        <f t="shared" si="3"/>
        <v xml:space="preserve"> </v>
      </c>
      <c r="AC69" s="85" t="str">
        <f t="shared" si="3"/>
        <v xml:space="preserve"> </v>
      </c>
      <c r="AD69" s="85" t="str">
        <f t="shared" si="3"/>
        <v xml:space="preserve"> </v>
      </c>
      <c r="AE69" s="85" t="str">
        <f t="shared" si="3"/>
        <v xml:space="preserve"> </v>
      </c>
      <c r="AF69" s="85" t="str">
        <f t="shared" si="3"/>
        <v xml:space="preserve"> </v>
      </c>
      <c r="AG69" s="85" t="str">
        <f t="shared" si="3"/>
        <v xml:space="preserve"> </v>
      </c>
    </row>
    <row r="70" spans="1:33" ht="20" customHeight="1" x14ac:dyDescent="0.2">
      <c r="A70" s="48" t="str">
        <f t="shared" si="1"/>
        <v>Wages</v>
      </c>
      <c r="B70" s="84" t="str">
        <f t="shared" si="2"/>
        <v xml:space="preserve"> </v>
      </c>
      <c r="C70" s="85" t="str">
        <f t="shared" si="3"/>
        <v xml:space="preserve"> </v>
      </c>
      <c r="D70" s="85" t="str">
        <f t="shared" si="3"/>
        <v xml:space="preserve"> </v>
      </c>
      <c r="E70" s="85" t="str">
        <f t="shared" si="3"/>
        <v xml:space="preserve"> </v>
      </c>
      <c r="F70" s="85" t="str">
        <f t="shared" si="3"/>
        <v xml:space="preserve"> </v>
      </c>
      <c r="G70" s="85" t="str">
        <f t="shared" si="3"/>
        <v xml:space="preserve"> </v>
      </c>
      <c r="H70" s="85" t="str">
        <f t="shared" si="3"/>
        <v xml:space="preserve"> </v>
      </c>
      <c r="I70" s="85" t="str">
        <f t="shared" si="3"/>
        <v xml:space="preserve"> </v>
      </c>
      <c r="J70" s="85" t="str">
        <f t="shared" si="3"/>
        <v xml:space="preserve"> </v>
      </c>
      <c r="K70" s="85" t="str">
        <f t="shared" si="3"/>
        <v xml:space="preserve"> </v>
      </c>
      <c r="L70" s="85" t="str">
        <f t="shared" si="3"/>
        <v xml:space="preserve"> </v>
      </c>
      <c r="M70" s="85" t="str">
        <f t="shared" si="3"/>
        <v xml:space="preserve"> </v>
      </c>
      <c r="N70" s="85" t="str">
        <f t="shared" si="3"/>
        <v xml:space="preserve"> </v>
      </c>
      <c r="O70" s="85" t="str">
        <f t="shared" si="3"/>
        <v xml:space="preserve"> </v>
      </c>
      <c r="P70" s="85" t="str">
        <f t="shared" si="3"/>
        <v xml:space="preserve"> </v>
      </c>
      <c r="Q70" s="85" t="str">
        <f t="shared" si="3"/>
        <v xml:space="preserve"> </v>
      </c>
      <c r="R70" s="85" t="str">
        <f t="shared" si="3"/>
        <v xml:space="preserve"> </v>
      </c>
      <c r="S70" s="85" t="str">
        <f t="shared" si="3"/>
        <v xml:space="preserve"> </v>
      </c>
      <c r="T70" s="85" t="str">
        <f t="shared" si="3"/>
        <v xml:space="preserve"> </v>
      </c>
      <c r="U70" s="85" t="str">
        <f t="shared" si="3"/>
        <v xml:space="preserve"> </v>
      </c>
      <c r="V70" s="85" t="str">
        <f t="shared" si="3"/>
        <v xml:space="preserve"> </v>
      </c>
      <c r="W70" s="85" t="str">
        <f t="shared" si="3"/>
        <v xml:space="preserve"> </v>
      </c>
      <c r="X70" s="85" t="str">
        <f t="shared" si="3"/>
        <v xml:space="preserve"> </v>
      </c>
      <c r="Y70" s="85" t="str">
        <f t="shared" si="3"/>
        <v xml:space="preserve"> </v>
      </c>
      <c r="Z70" s="85" t="str">
        <f t="shared" si="3"/>
        <v xml:space="preserve"> </v>
      </c>
      <c r="AA70" s="85" t="str">
        <f t="shared" si="3"/>
        <v xml:space="preserve"> </v>
      </c>
      <c r="AB70" s="85" t="str">
        <f t="shared" si="3"/>
        <v xml:space="preserve"> </v>
      </c>
      <c r="AC70" s="85" t="str">
        <f t="shared" si="3"/>
        <v xml:space="preserve"> </v>
      </c>
      <c r="AD70" s="85" t="str">
        <f t="shared" si="3"/>
        <v xml:space="preserve"> </v>
      </c>
      <c r="AE70" s="85" t="str">
        <f t="shared" si="3"/>
        <v xml:space="preserve"> </v>
      </c>
      <c r="AF70" s="85" t="str">
        <f t="shared" si="3"/>
        <v xml:space="preserve"> </v>
      </c>
      <c r="AG70" s="85" t="str">
        <f t="shared" si="3"/>
        <v xml:space="preserve"> </v>
      </c>
    </row>
    <row r="71" spans="1:33" ht="20" customHeight="1" x14ac:dyDescent="0.2">
      <c r="A71" s="48" t="str">
        <f t="shared" si="1"/>
        <v>HWHD Wages</v>
      </c>
      <c r="B71" s="84" t="str">
        <f t="shared" si="2"/>
        <v xml:space="preserve"> </v>
      </c>
      <c r="C71" s="85" t="str">
        <f t="shared" si="3"/>
        <v xml:space="preserve"> </v>
      </c>
      <c r="D71" s="85" t="str">
        <f t="shared" si="3"/>
        <v xml:space="preserve"> </v>
      </c>
      <c r="E71" s="85" t="str">
        <f t="shared" si="3"/>
        <v xml:space="preserve"> </v>
      </c>
      <c r="F71" s="85" t="str">
        <f t="shared" si="3"/>
        <v xml:space="preserve"> </v>
      </c>
      <c r="G71" s="85" t="str">
        <f t="shared" si="3"/>
        <v xml:space="preserve"> </v>
      </c>
      <c r="H71" s="85" t="str">
        <f t="shared" si="3"/>
        <v xml:space="preserve"> </v>
      </c>
      <c r="I71" s="85" t="str">
        <f t="shared" si="3"/>
        <v xml:space="preserve"> </v>
      </c>
      <c r="J71" s="85" t="str">
        <f t="shared" si="3"/>
        <v xml:space="preserve"> </v>
      </c>
      <c r="K71" s="85" t="str">
        <f t="shared" si="3"/>
        <v xml:space="preserve"> </v>
      </c>
      <c r="L71" s="85" t="str">
        <f t="shared" si="3"/>
        <v xml:space="preserve"> </v>
      </c>
      <c r="M71" s="85" t="str">
        <f t="shared" si="3"/>
        <v xml:space="preserve"> </v>
      </c>
      <c r="N71" s="85" t="str">
        <f t="shared" si="3"/>
        <v xml:space="preserve"> </v>
      </c>
      <c r="O71" s="85" t="str">
        <f t="shared" si="3"/>
        <v xml:space="preserve"> </v>
      </c>
      <c r="P71" s="85" t="str">
        <f t="shared" si="3"/>
        <v xml:space="preserve"> </v>
      </c>
      <c r="Q71" s="85" t="str">
        <f t="shared" si="3"/>
        <v xml:space="preserve"> </v>
      </c>
      <c r="R71" s="85" t="str">
        <f t="shared" si="3"/>
        <v xml:space="preserve"> </v>
      </c>
      <c r="S71" s="85" t="str">
        <f t="shared" si="3"/>
        <v xml:space="preserve"> </v>
      </c>
      <c r="T71" s="85" t="str">
        <f t="shared" si="3"/>
        <v xml:space="preserve"> </v>
      </c>
      <c r="U71" s="85" t="str">
        <f t="shared" si="3"/>
        <v xml:space="preserve"> </v>
      </c>
      <c r="V71" s="85" t="str">
        <f t="shared" si="3"/>
        <v xml:space="preserve"> </v>
      </c>
      <c r="W71" s="85" t="str">
        <f t="shared" si="3"/>
        <v xml:space="preserve"> </v>
      </c>
      <c r="X71" s="85" t="str">
        <f t="shared" si="3"/>
        <v xml:space="preserve"> </v>
      </c>
      <c r="Y71" s="85" t="str">
        <f t="shared" si="3"/>
        <v xml:space="preserve"> </v>
      </c>
      <c r="Z71" s="85" t="str">
        <f t="shared" si="3"/>
        <v xml:space="preserve"> </v>
      </c>
      <c r="AA71" s="85" t="str">
        <f t="shared" si="3"/>
        <v xml:space="preserve"> </v>
      </c>
      <c r="AB71" s="85" t="str">
        <f t="shared" si="3"/>
        <v xml:space="preserve"> </v>
      </c>
      <c r="AC71" s="85" t="str">
        <f t="shared" si="3"/>
        <v xml:space="preserve"> </v>
      </c>
      <c r="AD71" s="85" t="str">
        <f t="shared" si="3"/>
        <v xml:space="preserve"> </v>
      </c>
      <c r="AE71" s="85" t="str">
        <f t="shared" si="3"/>
        <v xml:space="preserve"> </v>
      </c>
      <c r="AF71" s="85" t="str">
        <f t="shared" si="3"/>
        <v xml:space="preserve"> </v>
      </c>
      <c r="AG71" s="85" t="str">
        <f t="shared" si="3"/>
        <v xml:space="preserve"> </v>
      </c>
    </row>
    <row r="72" spans="1:33" ht="20" customHeight="1" x14ac:dyDescent="0.2">
      <c r="A72" s="111"/>
    </row>
    <row r="73" spans="1:33" ht="20" customHeight="1" x14ac:dyDescent="0.2">
      <c r="A73" s="111"/>
    </row>
    <row r="74" spans="1:33" ht="20" customHeight="1" x14ac:dyDescent="0.2">
      <c r="A74" s="111"/>
    </row>
    <row r="75" spans="1:33" ht="20" customHeight="1" x14ac:dyDescent="0.2">
      <c r="A75" s="111"/>
    </row>
    <row r="76" spans="1:33" ht="32" customHeight="1" x14ac:dyDescent="0.15">
      <c r="A76" s="194" t="s">
        <v>118</v>
      </c>
    </row>
    <row r="77" spans="1:33" ht="20" customHeight="1" x14ac:dyDescent="0.15">
      <c r="A77" s="184" t="s">
        <v>27</v>
      </c>
    </row>
    <row r="78" spans="1:33" ht="20" customHeight="1" x14ac:dyDescent="0.15">
      <c r="A78" s="185" t="s">
        <v>40</v>
      </c>
    </row>
    <row r="79" spans="1:33" ht="20" customHeight="1" x14ac:dyDescent="0.15">
      <c r="A79" s="186" t="s">
        <v>41</v>
      </c>
    </row>
    <row r="80" spans="1:33" ht="20" customHeight="1" x14ac:dyDescent="0.15">
      <c r="A80" s="187" t="s">
        <v>42</v>
      </c>
    </row>
    <row r="81" spans="1:1" ht="20" customHeight="1" x14ac:dyDescent="0.15">
      <c r="A81" s="188" t="s">
        <v>43</v>
      </c>
    </row>
    <row r="82" spans="1:1" x14ac:dyDescent="0.15">
      <c r="A82" s="8"/>
    </row>
  </sheetData>
  <conditionalFormatting sqref="B16:AG16 B4:AG14">
    <cfRule type="containsText" dxfId="81" priority="9" stopIfTrue="1" operator="containsText" text="Goal Met">
      <formula>NOT(ISERROR(SEARCH("Goal Met",B4)))</formula>
    </cfRule>
  </conditionalFormatting>
  <conditionalFormatting sqref="A82">
    <cfRule type="colorScale" priority="12">
      <colorScale>
        <cfvo type="num" val="0"/>
        <cfvo type="num" val="0.5"/>
        <cfvo type="num" val="1"/>
        <color rgb="FFFF0000"/>
        <color rgb="FFFFEB84"/>
        <color rgb="FF00B050"/>
      </colorScale>
    </cfRule>
  </conditionalFormatting>
  <conditionalFormatting sqref="B62:AG71 C61:AG61">
    <cfRule type="containsText" dxfId="80" priority="7" stopIfTrue="1" operator="containsText" text="Goal Met">
      <formula>NOT(ISERROR(SEARCH("Goal Met",B61)))</formula>
    </cfRule>
  </conditionalFormatting>
  <conditionalFormatting sqref="B61:AG71">
    <cfRule type="expression" dxfId="79" priority="1" stopIfTrue="1">
      <formula>ISNUMBER(B4)=FALSE</formula>
    </cfRule>
    <cfRule type="expression" dxfId="78" priority="2">
      <formula>B4&gt;=1</formula>
    </cfRule>
    <cfRule type="expression" dxfId="77" priority="3">
      <formula>AND(B4&gt;=0.75,B4&lt;1)</formula>
    </cfRule>
    <cfRule type="expression" dxfId="76" priority="4">
      <formula>AND(B4&gt;=0.5,B4&lt;0.75)</formula>
    </cfRule>
    <cfRule type="expression" dxfId="75" priority="5">
      <formula>AND(B4&gt;=0.25,B4&lt;0.5)</formula>
    </cfRule>
    <cfRule type="expression" dxfId="74" priority="6">
      <formula>B4&lt;0.25</formula>
    </cfRule>
  </conditionalFormatting>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C164B-A67C-4D32-814A-A24493C61DB4}">
  <dimension ref="A1:Z34"/>
  <sheetViews>
    <sheetView showGridLines="0" zoomScale="90" zoomScaleNormal="90" workbookViewId="0">
      <selection activeCell="D4" sqref="D4:F4"/>
    </sheetView>
  </sheetViews>
  <sheetFormatPr baseColWidth="10" defaultColWidth="8.83203125" defaultRowHeight="14" x14ac:dyDescent="0.15"/>
  <cols>
    <col min="1" max="1" width="4.6640625" style="74" customWidth="1"/>
    <col min="2" max="3" width="17.33203125" style="74" bestFit="1" customWidth="1"/>
    <col min="4" max="4" width="14.1640625" style="74" customWidth="1"/>
    <col min="5" max="5" width="13.6640625" style="74" customWidth="1"/>
    <col min="6" max="7" width="13.33203125" style="74" customWidth="1"/>
    <col min="8" max="8" width="14" style="74" customWidth="1"/>
    <col min="9" max="9" width="13.83203125" style="74" customWidth="1"/>
    <col min="10" max="10" width="15" style="74" customWidth="1"/>
    <col min="11" max="11" width="14.1640625" style="74" customWidth="1"/>
    <col min="12" max="12" width="13.6640625" style="74" customWidth="1"/>
    <col min="13" max="13" width="13.83203125" style="74" customWidth="1"/>
    <col min="14" max="14" width="20.1640625" style="74" customWidth="1"/>
    <col min="15" max="15" width="4.6640625" style="74" customWidth="1"/>
    <col min="16" max="16" width="13.33203125" style="74" customWidth="1"/>
    <col min="17" max="17" width="12.1640625" style="74" customWidth="1"/>
    <col min="18" max="18" width="8.83203125" style="74"/>
    <col min="19" max="20" width="9" style="74" hidden="1" customWidth="1"/>
    <col min="21" max="16384" width="8.83203125" style="74"/>
  </cols>
  <sheetData>
    <row r="1" spans="1:20" ht="3.5" customHeight="1" x14ac:dyDescent="0.15"/>
    <row r="2" spans="1:20" ht="45" customHeight="1" x14ac:dyDescent="0.15">
      <c r="A2" s="125"/>
      <c r="B2" s="222" t="s">
        <v>78</v>
      </c>
      <c r="C2" s="222"/>
      <c r="D2" s="222"/>
      <c r="E2" s="125"/>
      <c r="F2" s="125"/>
      <c r="G2" s="125"/>
      <c r="H2" s="125"/>
      <c r="I2" s="125"/>
      <c r="J2" s="125"/>
      <c r="K2" s="125"/>
    </row>
    <row r="3" spans="1:20" ht="40" customHeight="1" x14ac:dyDescent="0.15">
      <c r="A3" s="223" t="s">
        <v>86</v>
      </c>
      <c r="B3" s="223"/>
      <c r="C3" s="223"/>
      <c r="D3" s="223"/>
      <c r="E3" s="223"/>
      <c r="F3" s="223"/>
      <c r="G3" s="223"/>
      <c r="H3" s="161"/>
      <c r="I3" s="161"/>
      <c r="J3" s="161"/>
      <c r="K3" s="161"/>
      <c r="L3" s="161"/>
      <c r="M3" s="161"/>
      <c r="N3" s="161"/>
      <c r="O3" s="161"/>
    </row>
    <row r="4" spans="1:20" ht="18" customHeight="1" x14ac:dyDescent="0.2">
      <c r="A4" s="203" t="s">
        <v>32</v>
      </c>
      <c r="B4" s="203"/>
      <c r="C4" s="203"/>
      <c r="D4" s="226" t="s">
        <v>0</v>
      </c>
      <c r="E4" s="226"/>
      <c r="F4" s="226"/>
      <c r="G4" s="160"/>
      <c r="H4" s="160"/>
      <c r="I4" s="160"/>
      <c r="J4" s="160"/>
      <c r="K4" s="160"/>
      <c r="L4" s="160"/>
      <c r="M4" s="160"/>
      <c r="N4" s="160"/>
      <c r="O4" s="160"/>
    </row>
    <row r="5" spans="1:20" ht="28" customHeight="1" x14ac:dyDescent="0.15">
      <c r="A5" s="220" t="s">
        <v>33</v>
      </c>
      <c r="B5" s="220"/>
      <c r="C5" s="220"/>
      <c r="D5" s="227" t="str">
        <f>INDEX(indicator_defs,MATCH(Ind_Filter,Indicators,0))</f>
        <v>Number of CTE participants as calculated for Perkins V</v>
      </c>
      <c r="E5" s="227"/>
      <c r="F5" s="227"/>
      <c r="G5" s="227"/>
      <c r="H5" s="227"/>
      <c r="I5" s="227"/>
      <c r="J5" s="227"/>
      <c r="K5" s="227"/>
      <c r="L5" s="227"/>
      <c r="M5" s="227"/>
      <c r="N5" s="227"/>
      <c r="O5" s="227"/>
    </row>
    <row r="6" spans="1:20" ht="24" customHeight="1" x14ac:dyDescent="0.15">
      <c r="A6" s="220"/>
      <c r="B6" s="220"/>
      <c r="C6" s="220"/>
      <c r="D6" s="227"/>
      <c r="E6" s="227"/>
      <c r="F6" s="227"/>
      <c r="G6" s="227"/>
      <c r="H6" s="227"/>
      <c r="I6" s="227"/>
      <c r="J6" s="227"/>
      <c r="K6" s="227"/>
      <c r="L6" s="227"/>
      <c r="M6" s="227"/>
      <c r="N6" s="227"/>
      <c r="O6" s="227"/>
    </row>
    <row r="7" spans="1:20" ht="11" customHeight="1" x14ac:dyDescent="0.15">
      <c r="I7" s="112"/>
    </row>
    <row r="8" spans="1:20" ht="48" customHeight="1" x14ac:dyDescent="0.15">
      <c r="B8" s="204" t="s">
        <v>75</v>
      </c>
      <c r="C8" s="204"/>
      <c r="D8" s="204"/>
      <c r="E8" s="204"/>
      <c r="F8" s="204"/>
      <c r="G8" s="204"/>
      <c r="H8" s="146"/>
      <c r="I8" s="221" t="s">
        <v>76</v>
      </c>
      <c r="J8" s="221"/>
      <c r="K8" s="221"/>
      <c r="L8" s="221"/>
      <c r="M8" s="221"/>
      <c r="N8" s="221"/>
      <c r="O8" s="113"/>
    </row>
    <row r="9" spans="1:20" ht="10.5" customHeight="1" x14ac:dyDescent="0.15">
      <c r="E9" s="114"/>
      <c r="F9" s="114"/>
      <c r="G9" s="114"/>
      <c r="H9" s="114"/>
      <c r="I9" s="114"/>
      <c r="J9" s="114"/>
      <c r="K9" s="114"/>
      <c r="L9" s="114"/>
      <c r="M9" s="114"/>
      <c r="N9" s="114"/>
      <c r="O9" s="114"/>
    </row>
    <row r="10" spans="1:20" x14ac:dyDescent="0.15">
      <c r="B10" s="211" t="s">
        <v>36</v>
      </c>
      <c r="C10" s="212"/>
      <c r="D10" s="212"/>
      <c r="E10" s="212"/>
      <c r="F10" s="212"/>
      <c r="G10" s="216"/>
      <c r="I10" s="211" t="s">
        <v>47</v>
      </c>
      <c r="J10" s="212"/>
      <c r="K10" s="212"/>
      <c r="L10" s="212"/>
      <c r="M10" s="212"/>
      <c r="N10" s="212"/>
    </row>
    <row r="11" spans="1:20" x14ac:dyDescent="0.15">
      <c r="B11" s="115" t="s">
        <v>37</v>
      </c>
      <c r="C11" s="116" t="s">
        <v>44</v>
      </c>
      <c r="D11" s="115" t="s">
        <v>38</v>
      </c>
      <c r="E11" s="217" t="s">
        <v>73</v>
      </c>
      <c r="F11" s="218"/>
      <c r="G11" s="219"/>
      <c r="I11" s="115" t="s">
        <v>37</v>
      </c>
      <c r="J11" s="116" t="s">
        <v>44</v>
      </c>
      <c r="K11" s="115" t="s">
        <v>38</v>
      </c>
      <c r="L11" s="217" t="s">
        <v>73</v>
      </c>
      <c r="M11" s="218"/>
      <c r="N11" s="219"/>
      <c r="S11" s="74" t="s">
        <v>29</v>
      </c>
      <c r="T11" s="74" t="s">
        <v>31</v>
      </c>
    </row>
    <row r="12" spans="1:20" x14ac:dyDescent="0.15">
      <c r="B12" s="117" t="str">
        <f ca="1">IFERROR(OFFSET('Numeric Goals'!$B$3,MATCH(Ind_Filter,'Numeric Goals'!$A$4:$A$15,),MATCH(E12,GoalAsCount_Tbl[[#Headers],[Male]:[Migrant Female]],0)),"No Goal")</f>
        <v>No Goal</v>
      </c>
      <c r="C12" s="117" t="str">
        <f ca="1">IF(IFERROR(ROUND(B12*D12,0),"")=0,"Goal Met",IFERROR(ROUND(B12*D12,0),""))</f>
        <v/>
      </c>
      <c r="D12" s="118" t="str">
        <f ca="1">IF(ISNUMBER(B12),1-LARGE(PctOfGoalVert_Tbl[Selection],Dashboard!S12),"")</f>
        <v/>
      </c>
      <c r="E12" s="213" t="str" cm="1">
        <f t="array" ref="E12">IFERROR(INDEX(PctOfGoalVert_Tbl[SubGroup],MATCH(1, (PctOfGoalVert_Tbl[Selection]=LARGE(PctOfGoalVert_Tbl[Selection],S12)) * (COUNTIF(E$11:E11,PctOfGoalVert_Tbl[SubGroup])=0), 0)),"")</f>
        <v/>
      </c>
      <c r="F12" s="214"/>
      <c r="G12" s="215"/>
      <c r="I12" s="117" t="str">
        <f ca="1">IFERROR(OFFSET('Numeric Goals'!$A$2,MATCH(Ind_Filter,GoalAsCount_Tbl[Column1],0),MATCH(L12,GoalAsCount_Tbl[[#Headers],[Total Population for Each Indicator]:[Migrant Female]],0)),"No Goal")</f>
        <v>No Goal</v>
      </c>
      <c r="J12" s="119" t="str">
        <f ca="1">IF(IFERROR(ROUND(I12*K12,0),"")=0,"Goal Met",IFERROR(ROUND(I12*K12,0),""))</f>
        <v/>
      </c>
      <c r="K12" s="118" t="str">
        <f ca="1">IF(ISNUMBER(I12),1-SMALL(PctOfGoalVert_Tbl[Selection],COUNTA(PctOfGoalVert_Tbl[SubGroup])-T12+1),"")</f>
        <v/>
      </c>
      <c r="L12" s="213" t="str" cm="1">
        <f t="array" ref="L12">IFERROR(INDEX(PctOfGoalVert_Tbl[SubGroup],MATCH(1, (PctOfGoalVert_Tbl[Selection]=SMALL(PctOfGoalVert_Tbl[Selection],COUNTA(PctOfGoalVert_Tbl[SubGroup])-T12+1)) * (COUNTIF(L$11:L11,PctOfGoalVert_Tbl[SubGroup])=0), 0)),"")</f>
        <v/>
      </c>
      <c r="M12" s="214"/>
      <c r="N12" s="215"/>
      <c r="Q12" s="28"/>
      <c r="S12" s="112">
        <v>1</v>
      </c>
      <c r="T12" s="112">
        <f>COUNTA(PctOfGoalVert_Tbl[SubGroup])</f>
        <v>32</v>
      </c>
    </row>
    <row r="13" spans="1:20" x14ac:dyDescent="0.15">
      <c r="B13" s="117" t="str">
        <f ca="1">IFERROR(OFFSET('Numeric Goals'!$B$3,MATCH(Ind_Filter,'Numeric Goals'!$A$4:$A$15,),MATCH(E13,GoalAsCount_Tbl[[#Headers],[Male]:[Migrant Female]],0)),"No Goal")</f>
        <v>No Goal</v>
      </c>
      <c r="C13" s="117" t="str">
        <f t="shared" ref="C13:C16" ca="1" si="0">IF(IFERROR(ROUND(B13*D13,0),"")=0,"Goal Met",IFERROR(ROUND(B13*D13,0),""))</f>
        <v/>
      </c>
      <c r="D13" s="118" t="str">
        <f ca="1">IF(ISNUMBER(B13),1-LARGE(PctOfGoalVert_Tbl[Selection],Dashboard!S13),"")</f>
        <v/>
      </c>
      <c r="E13" s="213" t="str" cm="1">
        <f t="array" ref="E13">IFERROR(INDEX(PctOfGoalVert_Tbl[SubGroup],MATCH(1, (PctOfGoalVert_Tbl[Selection]=LARGE(PctOfGoalVert_Tbl[Selection],S13)) * (COUNTIF(E$11:E12,PctOfGoalVert_Tbl[SubGroup])=0), 0)),"")</f>
        <v/>
      </c>
      <c r="F13" s="214"/>
      <c r="G13" s="215"/>
      <c r="I13" s="117" t="str">
        <f ca="1">IFERROR(OFFSET('Numeric Goals'!$A$2,MATCH(Ind_Filter,GoalAsCount_Tbl[Column1],0),MATCH(L13,GoalAsCount_Tbl[[#Headers],[Total Population for Each Indicator]:[Migrant Female]],0)),"No Goal")</f>
        <v>No Goal</v>
      </c>
      <c r="J13" s="119" t="str">
        <f t="shared" ref="J13:J16" ca="1" si="1">IF(IFERROR(ROUND(I13*K13,0),"")=0,"Goal Met",IFERROR(ROUND(I13*K13,0),""))</f>
        <v/>
      </c>
      <c r="K13" s="118" t="str">
        <f ca="1">IF(ISNUMBER(I13),1-SMALL(PctOfGoalVert_Tbl[Selection],COUNTA(PctOfGoalVert_Tbl[SubGroup])-T13+1),"")</f>
        <v/>
      </c>
      <c r="L13" s="213" t="str" cm="1">
        <f t="array" ref="L13">IFERROR(INDEX(PctOfGoalVert_Tbl[SubGroup],MATCH(1, (PctOfGoalVert_Tbl[Selection]=SMALL(PctOfGoalVert_Tbl[Selection],COUNTA(PctOfGoalVert_Tbl[SubGroup])-T13+1)) * (COUNTIF(L$11:L12,PctOfGoalVert_Tbl[SubGroup])=0), 0)),"")</f>
        <v/>
      </c>
      <c r="M13" s="214"/>
      <c r="N13" s="215"/>
      <c r="S13" s="112">
        <v>2</v>
      </c>
      <c r="T13" s="112">
        <f>T12-1</f>
        <v>31</v>
      </c>
    </row>
    <row r="14" spans="1:20" x14ac:dyDescent="0.15">
      <c r="B14" s="117" t="str">
        <f ca="1">IFERROR(OFFSET('Numeric Goals'!$B$3,MATCH(Ind_Filter,'Numeric Goals'!$A$4:$A$15,),MATCH(E14,GoalAsCount_Tbl[[#Headers],[Male]:[Migrant Female]],0)),"No Goal")</f>
        <v>No Goal</v>
      </c>
      <c r="C14" s="117" t="str">
        <f t="shared" ca="1" si="0"/>
        <v/>
      </c>
      <c r="D14" s="118" t="str">
        <f ca="1">IF(ISNUMBER(B14),1-LARGE(PctOfGoalVert_Tbl[Selection],Dashboard!S14),"")</f>
        <v/>
      </c>
      <c r="E14" s="213" t="str" cm="1">
        <f t="array" ref="E14">IFERROR(INDEX(PctOfGoalVert_Tbl[SubGroup],MATCH(1, (PctOfGoalVert_Tbl[Selection]=LARGE(PctOfGoalVert_Tbl[Selection],S14)) * (COUNTIF(E$11:E13,PctOfGoalVert_Tbl[SubGroup])=0), 0)),"")</f>
        <v/>
      </c>
      <c r="F14" s="214"/>
      <c r="G14" s="215"/>
      <c r="I14" s="117" t="str">
        <f ca="1">IFERROR(OFFSET('Numeric Goals'!$A$2,MATCH(Ind_Filter,GoalAsCount_Tbl[Column1],0),MATCH(L14,GoalAsCount_Tbl[[#Headers],[Total Population for Each Indicator]:[Migrant Female]],0)),"No Goal")</f>
        <v>No Goal</v>
      </c>
      <c r="J14" s="119" t="str">
        <f t="shared" ca="1" si="1"/>
        <v/>
      </c>
      <c r="K14" s="118" t="str">
        <f ca="1">IF(ISNUMBER(I14),1-SMALL(PctOfGoalVert_Tbl[Selection],COUNTA(PctOfGoalVert_Tbl[SubGroup])-T14+1),"")</f>
        <v/>
      </c>
      <c r="L14" s="213" t="str" cm="1">
        <f t="array" ref="L14">IFERROR(INDEX(PctOfGoalVert_Tbl[SubGroup],MATCH(1, (PctOfGoalVert_Tbl[Selection]=SMALL(PctOfGoalVert_Tbl[Selection],COUNTA(PctOfGoalVert_Tbl[SubGroup])-T14+1)) * (COUNTIF(L$11:L13,PctOfGoalVert_Tbl[SubGroup])=0), 0)),"")</f>
        <v/>
      </c>
      <c r="M14" s="214"/>
      <c r="N14" s="215"/>
      <c r="S14" s="112">
        <v>3</v>
      </c>
      <c r="T14" s="112">
        <f>T13-1</f>
        <v>30</v>
      </c>
    </row>
    <row r="15" spans="1:20" x14ac:dyDescent="0.15">
      <c r="B15" s="117" t="str">
        <f ca="1">IFERROR(OFFSET('Numeric Goals'!$B$3,MATCH(Ind_Filter,'Numeric Goals'!$A$4:$A$15,),MATCH(E15,GoalAsCount_Tbl[[#Headers],[Male]:[Migrant Female]],0)),"No Goal")</f>
        <v>No Goal</v>
      </c>
      <c r="C15" s="117" t="str">
        <f t="shared" ca="1" si="0"/>
        <v/>
      </c>
      <c r="D15" s="118" t="str">
        <f ca="1">IF(ISNUMBER(B15),1-LARGE(PctOfGoalVert_Tbl[Selection],Dashboard!S15),"")</f>
        <v/>
      </c>
      <c r="E15" s="213" t="str" cm="1">
        <f t="array" ref="E15">IFERROR(INDEX(PctOfGoalVert_Tbl[SubGroup],MATCH(1, (PctOfGoalVert_Tbl[Selection]=LARGE(PctOfGoalVert_Tbl[Selection],S15)) * (COUNTIF(E$11:E14,PctOfGoalVert_Tbl[SubGroup])=0), 0)),"")</f>
        <v/>
      </c>
      <c r="F15" s="214"/>
      <c r="G15" s="215"/>
      <c r="I15" s="117" t="str">
        <f ca="1">IFERROR(OFFSET('Numeric Goals'!$A$2,MATCH(Ind_Filter,GoalAsCount_Tbl[Column1],0),MATCH(L15,GoalAsCount_Tbl[[#Headers],[Total Population for Each Indicator]:[Migrant Female]],0)),"No Goal")</f>
        <v>No Goal</v>
      </c>
      <c r="J15" s="119" t="str">
        <f t="shared" ca="1" si="1"/>
        <v/>
      </c>
      <c r="K15" s="118" t="str">
        <f ca="1">IF(ISNUMBER(I15),1-SMALL(PctOfGoalVert_Tbl[Selection],COUNTA(PctOfGoalVert_Tbl[SubGroup])-T15+1),"")</f>
        <v/>
      </c>
      <c r="L15" s="213" t="str" cm="1">
        <f t="array" ref="L15">IFERROR(INDEX(PctOfGoalVert_Tbl[SubGroup],MATCH(1, (PctOfGoalVert_Tbl[Selection]=SMALL(PctOfGoalVert_Tbl[Selection],COUNTA(PctOfGoalVert_Tbl[SubGroup])-T15+1)) * (COUNTIF(L$11:L14,PctOfGoalVert_Tbl[SubGroup])=0), 0)),"")</f>
        <v/>
      </c>
      <c r="M15" s="214"/>
      <c r="N15" s="215"/>
      <c r="S15" s="112">
        <v>4</v>
      </c>
      <c r="T15" s="112">
        <f>T14-1</f>
        <v>29</v>
      </c>
    </row>
    <row r="16" spans="1:20" x14ac:dyDescent="0.15">
      <c r="B16" s="117" t="str">
        <f ca="1">IFERROR(OFFSET('Numeric Goals'!$B$3,MATCH(Ind_Filter,'Numeric Goals'!$A$4:$A$15,),MATCH(E16,GoalAsCount_Tbl[[#Headers],[Male]:[Migrant Female]],0)),"No Goal")</f>
        <v>No Goal</v>
      </c>
      <c r="C16" s="117" t="str">
        <f t="shared" ca="1" si="0"/>
        <v/>
      </c>
      <c r="D16" s="118" t="str">
        <f ca="1">IF(ISNUMBER(B16),1-LARGE(PctOfGoalVert_Tbl[Selection],Dashboard!S16),"")</f>
        <v/>
      </c>
      <c r="E16" s="213" t="str" cm="1">
        <f t="array" ref="E16">IFERROR(INDEX(PctOfGoalVert_Tbl[SubGroup],MATCH(1, (PctOfGoalVert_Tbl[Selection]=LARGE(PctOfGoalVert_Tbl[Selection],S16)) * (COUNTIF(E$11:E15,PctOfGoalVert_Tbl[SubGroup])=0), 0)),"")</f>
        <v/>
      </c>
      <c r="F16" s="214"/>
      <c r="G16" s="215"/>
      <c r="I16" s="117" t="str">
        <f ca="1">IFERROR(OFFSET('Numeric Goals'!$A$2,MATCH(Ind_Filter,GoalAsCount_Tbl[Column1],0),MATCH(L16,GoalAsCount_Tbl[[#Headers],[Total Population for Each Indicator]:[Migrant Female]],0)),"No Goal")</f>
        <v>No Goal</v>
      </c>
      <c r="J16" s="119" t="str">
        <f t="shared" ca="1" si="1"/>
        <v/>
      </c>
      <c r="K16" s="118" t="str">
        <f ca="1">IF(ISNUMBER(I16),1-SMALL(PctOfGoalVert_Tbl[Selection],COUNTA(PctOfGoalVert_Tbl[SubGroup])-T16+1),"")</f>
        <v/>
      </c>
      <c r="L16" s="213" t="str" cm="1">
        <f t="array" ref="L16">IFERROR(INDEX(PctOfGoalVert_Tbl[SubGroup],MATCH(1, (PctOfGoalVert_Tbl[Selection]=SMALL(PctOfGoalVert_Tbl[Selection],COUNTA(PctOfGoalVert_Tbl[SubGroup])-T16+1)) * (COUNTIF(L$11:L15,PctOfGoalVert_Tbl[SubGroup])=0), 0)),"")</f>
        <v/>
      </c>
      <c r="M16" s="214"/>
      <c r="N16" s="215"/>
      <c r="S16" s="112">
        <v>5</v>
      </c>
      <c r="T16" s="112">
        <f>T15-1</f>
        <v>28</v>
      </c>
    </row>
    <row r="17" spans="2:26" ht="24" customHeight="1" x14ac:dyDescent="0.15">
      <c r="C17" s="120"/>
      <c r="D17" s="121"/>
      <c r="E17" s="120"/>
      <c r="F17" s="122"/>
      <c r="G17" s="122"/>
      <c r="H17" s="122"/>
      <c r="J17" s="120"/>
      <c r="K17" s="121"/>
      <c r="L17" s="120"/>
      <c r="M17" s="8"/>
      <c r="N17" s="8"/>
      <c r="O17" s="8"/>
      <c r="S17" s="112"/>
      <c r="T17" s="112"/>
    </row>
    <row r="18" spans="2:26" ht="32" customHeight="1" x14ac:dyDescent="0.15">
      <c r="B18" s="224" t="s">
        <v>77</v>
      </c>
      <c r="C18" s="225"/>
      <c r="D18" s="225"/>
      <c r="E18" s="225"/>
      <c r="F18" s="225"/>
      <c r="G18" s="225"/>
      <c r="H18" s="225"/>
      <c r="I18" s="225"/>
      <c r="J18" s="225"/>
      <c r="K18" s="225"/>
      <c r="L18" s="225"/>
      <c r="M18" s="225"/>
      <c r="N18" s="225"/>
      <c r="O18" s="225"/>
      <c r="S18" s="112"/>
      <c r="T18" s="112"/>
    </row>
    <row r="19" spans="2:26" ht="12.75" customHeight="1" thickBot="1" x14ac:dyDescent="0.2">
      <c r="C19" s="120"/>
      <c r="D19" s="121"/>
      <c r="E19" s="120"/>
      <c r="F19" s="122"/>
      <c r="G19" s="122"/>
      <c r="H19" s="122"/>
      <c r="J19" s="120"/>
      <c r="K19" s="121"/>
      <c r="L19" s="120"/>
      <c r="M19" s="8"/>
      <c r="N19" s="8"/>
      <c r="O19" s="8"/>
      <c r="S19" s="112"/>
      <c r="T19" s="112"/>
    </row>
    <row r="20" spans="2:26" ht="18" customHeight="1" x14ac:dyDescent="0.15">
      <c r="E20" s="102" t="s">
        <v>39</v>
      </c>
      <c r="F20" s="205" t="s">
        <v>27</v>
      </c>
      <c r="G20" s="207" t="s">
        <v>40</v>
      </c>
      <c r="H20" s="209" t="s">
        <v>41</v>
      </c>
      <c r="I20" s="199" t="s">
        <v>42</v>
      </c>
      <c r="J20" s="201" t="s">
        <v>43</v>
      </c>
      <c r="M20" s="8"/>
      <c r="N20" s="8"/>
      <c r="O20" s="8"/>
      <c r="S20" s="112"/>
      <c r="T20" s="112"/>
    </row>
    <row r="21" spans="2:26" ht="15" thickBot="1" x14ac:dyDescent="0.2">
      <c r="E21" s="103" t="s">
        <v>93</v>
      </c>
      <c r="F21" s="206"/>
      <c r="G21" s="208"/>
      <c r="H21" s="210"/>
      <c r="I21" s="200"/>
      <c r="J21" s="202"/>
      <c r="M21" s="8"/>
      <c r="N21" s="8"/>
      <c r="O21" s="8"/>
      <c r="S21" s="112"/>
      <c r="T21" s="112"/>
    </row>
    <row r="22" spans="2:26" ht="15" thickBot="1" x14ac:dyDescent="0.2">
      <c r="P22" s="123"/>
    </row>
    <row r="23" spans="2:26" ht="63" customHeight="1" thickBot="1" x14ac:dyDescent="0.2">
      <c r="C23" s="8"/>
      <c r="D23" s="165" t="s">
        <v>15</v>
      </c>
      <c r="E23" s="162" t="s">
        <v>51</v>
      </c>
      <c r="F23" s="165" t="s">
        <v>54</v>
      </c>
      <c r="G23" s="162" t="s">
        <v>16</v>
      </c>
      <c r="H23" s="165" t="s">
        <v>60</v>
      </c>
      <c r="I23" s="162" t="s">
        <v>57</v>
      </c>
      <c r="J23" s="165" t="s">
        <v>66</v>
      </c>
      <c r="K23" s="162" t="s">
        <v>17</v>
      </c>
      <c r="L23" s="165" t="s">
        <v>63</v>
      </c>
      <c r="M23" s="162" t="s">
        <v>18</v>
      </c>
      <c r="O23" s="124"/>
      <c r="P23" s="124"/>
    </row>
    <row r="24" spans="2:26" x14ac:dyDescent="0.15">
      <c r="C24" s="168" t="s">
        <v>74</v>
      </c>
      <c r="D24" s="163" t="str">
        <f ca="1">OFFSET('Numeric Goals'!$A$2,MATCH(Ind_Filter,GoalAsCount_Tbl[Column1],0),MATCH(Dashboard!D23,GoalAsCount_Tbl[[#Headers],[Total Population for Each Indicator]:[Migrant Female]],0))</f>
        <v>No Goal</v>
      </c>
      <c r="E24" s="163" t="str">
        <f ca="1">OFFSET('Numeric Goals'!$A$2,MATCH(Ind_Filter,GoalAsCount_Tbl[Column1],0),MATCH(Dashboard!E23,GoalAsCount_Tbl[[#Headers],[Total Population for Each Indicator]:[Migrant Female]],0))</f>
        <v>No Goal</v>
      </c>
      <c r="F24" s="163" t="str">
        <f ca="1">OFFSET('Numeric Goals'!$A$2,MATCH(Ind_Filter,GoalAsCount_Tbl[Column1],0),MATCH(Dashboard!F23,GoalAsCount_Tbl[[#Headers],[Total Population for Each Indicator]:[Migrant Female]],0))</f>
        <v>No Goal</v>
      </c>
      <c r="G24" s="163" t="str">
        <f ca="1">OFFSET('Numeric Goals'!$A$2,MATCH(Ind_Filter,GoalAsCount_Tbl[Column1],0),MATCH(Dashboard!G23,GoalAsCount_Tbl[[#Headers],[Total Population for Each Indicator]:[Migrant Female]],0))</f>
        <v>No Goal</v>
      </c>
      <c r="H24" s="163" t="str">
        <f ca="1">OFFSET('Numeric Goals'!$A$2,MATCH(Ind_Filter,GoalAsCount_Tbl[Column1],0),MATCH(Dashboard!H23,GoalAsCount_Tbl[[#Headers],[Total Population for Each Indicator]:[Migrant Female]],0))</f>
        <v>No Goal</v>
      </c>
      <c r="I24" s="163" t="str">
        <f ca="1">OFFSET('Numeric Goals'!$A$2,MATCH(Ind_Filter,GoalAsCount_Tbl[Column1],0),MATCH(Dashboard!I23,GoalAsCount_Tbl[[#Headers],[Total Population for Each Indicator]:[Migrant Female]],0))</f>
        <v>No Goal</v>
      </c>
      <c r="J24" s="163" t="str">
        <f ca="1">OFFSET('Numeric Goals'!$A$2,MATCH(Ind_Filter,GoalAsCount_Tbl[Column1],0),MATCH(Dashboard!J23,GoalAsCount_Tbl[[#Headers],[Total Population for Each Indicator]:[Migrant Female]],0))</f>
        <v>No Goal</v>
      </c>
      <c r="K24" s="163" t="str">
        <f ca="1">OFFSET('Numeric Goals'!$A$2,MATCH(Ind_Filter,GoalAsCount_Tbl[Column1],0),MATCH(Dashboard!K23,GoalAsCount_Tbl[[#Headers],[Total Population for Each Indicator]:[Migrant Female]],0))</f>
        <v>No Goal</v>
      </c>
      <c r="L24" s="163" t="str">
        <f ca="1">OFFSET('Numeric Goals'!$A$2,MATCH(Ind_Filter,GoalAsCount_Tbl[Column1],0),MATCH(Dashboard!L23,GoalAsCount_Tbl[[#Headers],[Total Population for Each Indicator]:[Migrant Female]],0))</f>
        <v>No Goal</v>
      </c>
      <c r="M24" s="163" t="str">
        <f ca="1">OFFSET('Numeric Goals'!$A$2,MATCH(Ind_Filter,GoalAsCount_Tbl[Column1],0),MATCH(Dashboard!M23,GoalAsCount_Tbl[[#Headers],[Total Population for Each Indicator]:[Migrant Female]],0))</f>
        <v>No Goal</v>
      </c>
      <c r="P24" s="123"/>
    </row>
    <row r="25" spans="2:26" ht="15" thickBot="1" x14ac:dyDescent="0.2">
      <c r="C25" s="169" t="s">
        <v>46</v>
      </c>
      <c r="D25" s="164" t="str">
        <f ca="1">OFFSET('Count Remaining To Goal'!$A$16,1,MATCH(Dashboard!D23,RemainCntToGoal_Tbl[[#Headers],[Male]:[Migrant Female]],0))</f>
        <v xml:space="preserve"> </v>
      </c>
      <c r="E25" s="164" t="str">
        <f ca="1">OFFSET('Count Remaining To Goal'!$A$16,1,MATCH(Dashboard!E23,RemainCntToGoal_Tbl[[#Headers],[Male]:[Migrant Female]],0))</f>
        <v xml:space="preserve"> </v>
      </c>
      <c r="F25" s="164" t="str">
        <f ca="1">OFFSET('Count Remaining To Goal'!$A$16,1,MATCH(Dashboard!F23,RemainCntToGoal_Tbl[[#Headers],[Male]:[Migrant Female]],0))</f>
        <v xml:space="preserve"> </v>
      </c>
      <c r="G25" s="164" t="str">
        <f ca="1">OFFSET('Count Remaining To Goal'!$A$16,1,MATCH(Dashboard!G23,RemainCntToGoal_Tbl[[#Headers],[Male]:[Migrant Female]],0))</f>
        <v xml:space="preserve"> </v>
      </c>
      <c r="H25" s="164" t="str">
        <f ca="1">OFFSET('Count Remaining To Goal'!$A$16,1,MATCH(Dashboard!H23,RemainCntToGoal_Tbl[[#Headers],[Male]:[Migrant Female]],0))</f>
        <v xml:space="preserve"> </v>
      </c>
      <c r="I25" s="164" t="str">
        <f ca="1">OFFSET('Count Remaining To Goal'!$A$16,1,MATCH(Dashboard!I23,RemainCntToGoal_Tbl[[#Headers],[Male]:[Migrant Female]],0))</f>
        <v xml:space="preserve"> </v>
      </c>
      <c r="J25" s="164" t="str">
        <f ca="1">OFFSET('Count Remaining To Goal'!$A$16,1,MATCH(Dashboard!J23,RemainCntToGoal_Tbl[[#Headers],[Male]:[Migrant Female]],0))</f>
        <v xml:space="preserve"> </v>
      </c>
      <c r="K25" s="164" t="str">
        <f ca="1">OFFSET('Count Remaining To Goal'!$A$16,1,MATCH(Dashboard!K23,RemainCntToGoal_Tbl[[#Headers],[Male]:[Migrant Female]],0))</f>
        <v xml:space="preserve"> </v>
      </c>
      <c r="L25" s="164" t="str">
        <f ca="1">OFFSET('Count Remaining To Goal'!$A$16,1,MATCH(Dashboard!L23,RemainCntToGoal_Tbl[[#Headers],[Male]:[Migrant Female]],0))</f>
        <v xml:space="preserve"> </v>
      </c>
      <c r="M25" s="164" t="str">
        <f ca="1">OFFSET('Count Remaining To Goal'!$A$16,1,MATCH(Dashboard!M23,RemainCntToGoal_Tbl[[#Headers],[Male]:[Migrant Female]],0))</f>
        <v xml:space="preserve"> </v>
      </c>
      <c r="P25" s="123"/>
      <c r="Q25" s="123"/>
      <c r="R25" s="123"/>
      <c r="S25" s="123"/>
      <c r="T25" s="123"/>
      <c r="U25" s="123"/>
      <c r="V25" s="123"/>
      <c r="W25" s="123"/>
      <c r="X25" s="123"/>
      <c r="Y25" s="123"/>
    </row>
    <row r="26" spans="2:26" ht="21.75" customHeight="1" thickBot="1" x14ac:dyDescent="0.2"/>
    <row r="27" spans="2:26" ht="61" thickBot="1" x14ac:dyDescent="0.2">
      <c r="B27" s="8"/>
      <c r="C27" s="162" t="s">
        <v>13</v>
      </c>
      <c r="D27" s="165" t="s">
        <v>19</v>
      </c>
      <c r="E27" s="162" t="s">
        <v>52</v>
      </c>
      <c r="F27" s="165" t="s">
        <v>55</v>
      </c>
      <c r="G27" s="162" t="s">
        <v>21</v>
      </c>
      <c r="H27" s="165" t="s">
        <v>61</v>
      </c>
      <c r="I27" s="162" t="s">
        <v>58</v>
      </c>
      <c r="J27" s="165" t="s">
        <v>67</v>
      </c>
      <c r="K27" s="162" t="s">
        <v>23</v>
      </c>
      <c r="L27" s="165" t="s">
        <v>64</v>
      </c>
      <c r="M27" s="162" t="s">
        <v>25</v>
      </c>
      <c r="P27" s="123"/>
    </row>
    <row r="28" spans="2:26" x14ac:dyDescent="0.15">
      <c r="B28" s="166" t="s">
        <v>74</v>
      </c>
      <c r="C28" s="163" t="str">
        <f ca="1">OFFSET('Numeric Goals'!$A$2,MATCH(Ind_Filter,GoalAsCount_Tbl[Column1],0),MATCH(Dashboard!C27,GoalAsCount_Tbl[[#Headers],[Total Population for Each Indicator]:[Migrant Female]],0))</f>
        <v>No Goal</v>
      </c>
      <c r="D28" s="163" t="str">
        <f ca="1">OFFSET('Numeric Goals'!$A$2,MATCH(Ind_Filter,GoalAsCount_Tbl[Column1],0),MATCH(Dashboard!D27,GoalAsCount_Tbl[[#Headers],[Total Population for Each Indicator]:[Migrant Female]],0))</f>
        <v>No Goal</v>
      </c>
      <c r="E28" s="163" t="str">
        <f ca="1">OFFSET('Numeric Goals'!$A$2,MATCH(Ind_Filter,GoalAsCount_Tbl[Column1],0),MATCH(Dashboard!E27,GoalAsCount_Tbl[[#Headers],[Total Population for Each Indicator]:[Migrant Female]],0))</f>
        <v>No Goal</v>
      </c>
      <c r="F28" s="163" t="str">
        <f ca="1">OFFSET('Numeric Goals'!$A$2,MATCH(Ind_Filter,GoalAsCount_Tbl[Column1],0),MATCH(Dashboard!F27,GoalAsCount_Tbl[[#Headers],[Total Population for Each Indicator]:[Migrant Female]],0))</f>
        <v>No Goal</v>
      </c>
      <c r="G28" s="163" t="str">
        <f ca="1">OFFSET('Numeric Goals'!$A$2,MATCH(Ind_Filter,GoalAsCount_Tbl[Column1],0),MATCH(Dashboard!G27,GoalAsCount_Tbl[[#Headers],[Total Population for Each Indicator]:[Migrant Female]],0))</f>
        <v>No Goal</v>
      </c>
      <c r="H28" s="163" t="str">
        <f ca="1">OFFSET('Numeric Goals'!$A$2,MATCH(Ind_Filter,GoalAsCount_Tbl[Column1],0),MATCH(Dashboard!H27,GoalAsCount_Tbl[[#Headers],[Total Population for Each Indicator]:[Migrant Female]],0))</f>
        <v>No Goal</v>
      </c>
      <c r="I28" s="163" t="str">
        <f ca="1">OFFSET('Numeric Goals'!$A$2,MATCH(Ind_Filter,GoalAsCount_Tbl[Column1],0),MATCH(Dashboard!I27,GoalAsCount_Tbl[[#Headers],[Total Population for Each Indicator]:[Migrant Female]],0))</f>
        <v>No Goal</v>
      </c>
      <c r="J28" s="163" t="str">
        <f ca="1">OFFSET('Numeric Goals'!$A$2,MATCH(Ind_Filter,GoalAsCount_Tbl[Column1],0),MATCH(Dashboard!J27,GoalAsCount_Tbl[[#Headers],[Total Population for Each Indicator]:[Migrant Female]],0))</f>
        <v>No Goal</v>
      </c>
      <c r="K28" s="163" t="str">
        <f ca="1">OFFSET('Numeric Goals'!$A$2,MATCH(Ind_Filter,GoalAsCount_Tbl[Column1],0),MATCH(Dashboard!K27,GoalAsCount_Tbl[[#Headers],[Total Population for Each Indicator]:[Migrant Female]],0))</f>
        <v>No Goal</v>
      </c>
      <c r="L28" s="163" t="str">
        <f ca="1">OFFSET('Numeric Goals'!$A$2,MATCH(Ind_Filter,GoalAsCount_Tbl[Column1],0),MATCH(Dashboard!L27,GoalAsCount_Tbl[[#Headers],[Total Population for Each Indicator]:[Migrant Female]],0))</f>
        <v>No Goal</v>
      </c>
      <c r="M28" s="163" t="str">
        <f ca="1">OFFSET('Numeric Goals'!$A$2,MATCH(Ind_Filter,GoalAsCount_Tbl[Column1],0),MATCH(Dashboard!M27,GoalAsCount_Tbl[[#Headers],[Total Population for Each Indicator]:[Migrant Female]],0))</f>
        <v>No Goal</v>
      </c>
      <c r="P28" s="123"/>
    </row>
    <row r="29" spans="2:26" ht="15" thickBot="1" x14ac:dyDescent="0.2">
      <c r="B29" s="167" t="s">
        <v>46</v>
      </c>
      <c r="C29" s="164" t="str">
        <f ca="1">OFFSET('Count Remaining To Goal'!$A16,1,MATCH(Dashboard!C27,RemainCntToGoal_Tbl[[#Headers],[Male]:[Migrant Female]],0))</f>
        <v xml:space="preserve"> </v>
      </c>
      <c r="D29" s="164" t="str">
        <f ca="1">OFFSET('Count Remaining To Goal'!$A16,1,MATCH(Dashboard!D27,RemainCntToGoal_Tbl[[#Headers],[Male]:[Migrant Female]],0))</f>
        <v xml:space="preserve"> </v>
      </c>
      <c r="E29" s="164" t="str">
        <f ca="1">OFFSET('Count Remaining To Goal'!$A16,1,MATCH(Dashboard!E27,RemainCntToGoal_Tbl[[#Headers],[Male]:[Migrant Female]],0))</f>
        <v xml:space="preserve"> </v>
      </c>
      <c r="F29" s="164" t="str">
        <f ca="1">OFFSET('Count Remaining To Goal'!$A16,1,MATCH(Dashboard!F27,RemainCntToGoal_Tbl[[#Headers],[Male]:[Migrant Female]],0))</f>
        <v xml:space="preserve"> </v>
      </c>
      <c r="G29" s="164" t="str">
        <f ca="1">OFFSET('Count Remaining To Goal'!$A$3,MATCH(Ind_Filter,RemainCntToGoal_Tbl[Column1],0),MATCH(Dashboard!G27,RemainCntToGoal_Tbl[[#Headers],[Male]:[Migrant Female]],0))</f>
        <v xml:space="preserve"> </v>
      </c>
      <c r="H29" s="164" t="str">
        <f ca="1">OFFSET('Count Remaining To Goal'!$A16,1,MATCH(Dashboard!H27,RemainCntToGoal_Tbl[[#Headers],[Male]:[Migrant Female]],0))</f>
        <v xml:space="preserve"> </v>
      </c>
      <c r="I29" s="164" t="str">
        <f ca="1">OFFSET('Count Remaining To Goal'!$A16,1,MATCH(Dashboard!I27,RemainCntToGoal_Tbl[[#Headers],[Male]:[Migrant Female]],0))</f>
        <v xml:space="preserve"> </v>
      </c>
      <c r="J29" s="164" t="str">
        <f ca="1">OFFSET('Count Remaining To Goal'!$A16,1,MATCH(Dashboard!J27,RemainCntToGoal_Tbl[[#Headers],[Male]:[Migrant Female]],0))</f>
        <v xml:space="preserve"> </v>
      </c>
      <c r="K29" s="164" t="str">
        <f ca="1">OFFSET('Count Remaining To Goal'!$A16,1,MATCH(Dashboard!K27,RemainCntToGoal_Tbl[[#Headers],[Male]:[Migrant Female]],0))</f>
        <v xml:space="preserve"> </v>
      </c>
      <c r="L29" s="164" t="str">
        <f ca="1">OFFSET('Count Remaining To Goal'!$A16,1,MATCH(Dashboard!L27,RemainCntToGoal_Tbl[[#Headers],[Male]:[Migrant Female]],0))</f>
        <v xml:space="preserve"> </v>
      </c>
      <c r="M29" s="164" t="str">
        <f ca="1">OFFSET('Count Remaining To Goal'!$A16,1,MATCH(Dashboard!M27,RemainCntToGoal_Tbl[[#Headers],[Male]:[Migrant Female]],0))</f>
        <v xml:space="preserve"> </v>
      </c>
      <c r="P29" s="123"/>
      <c r="Q29" s="123"/>
      <c r="R29" s="123"/>
      <c r="S29" s="123"/>
      <c r="T29" s="123"/>
      <c r="U29" s="123"/>
      <c r="V29" s="123"/>
      <c r="W29" s="123"/>
      <c r="X29" s="123"/>
      <c r="Y29" s="123"/>
      <c r="Z29" s="123"/>
    </row>
    <row r="30" spans="2:26" ht="20.25" customHeight="1" thickBot="1" x14ac:dyDescent="0.2"/>
    <row r="31" spans="2:26" ht="83" customHeight="1" thickBot="1" x14ac:dyDescent="0.2">
      <c r="B31" s="8"/>
      <c r="C31" s="162" t="s">
        <v>14</v>
      </c>
      <c r="D31" s="165" t="s">
        <v>20</v>
      </c>
      <c r="E31" s="162" t="s">
        <v>53</v>
      </c>
      <c r="F31" s="165" t="s">
        <v>56</v>
      </c>
      <c r="G31" s="162" t="s">
        <v>22</v>
      </c>
      <c r="H31" s="165" t="s">
        <v>62</v>
      </c>
      <c r="I31" s="162" t="s">
        <v>59</v>
      </c>
      <c r="J31" s="165" t="s">
        <v>68</v>
      </c>
      <c r="K31" s="162" t="s">
        <v>24</v>
      </c>
      <c r="L31" s="165" t="s">
        <v>65</v>
      </c>
      <c r="M31" s="162" t="s">
        <v>26</v>
      </c>
    </row>
    <row r="32" spans="2:26" x14ac:dyDescent="0.15">
      <c r="B32" s="166" t="s">
        <v>74</v>
      </c>
      <c r="C32" s="163" t="str">
        <f ca="1">OFFSET('Numeric Goals'!$A$2,MATCH(Ind_Filter,GoalAsCount_Tbl[Column1],0),MATCH(Dashboard!C31,GoalAsCount_Tbl[[#Headers],[Total Population for Each Indicator]:[Migrant Female]],0))</f>
        <v>No Goal</v>
      </c>
      <c r="D32" s="163" t="str">
        <f ca="1">OFFSET('Numeric Goals'!$A$2,MATCH(Ind_Filter,GoalAsCount_Tbl[Column1],0),MATCH(Dashboard!D31,GoalAsCount_Tbl[[#Headers],[Total Population for Each Indicator]:[Migrant Female]],0))</f>
        <v>No Goal</v>
      </c>
      <c r="E32" s="163" t="str">
        <f ca="1">OFFSET('Numeric Goals'!$A$2,MATCH(Ind_Filter,GoalAsCount_Tbl[Column1],0),MATCH(Dashboard!E31,GoalAsCount_Tbl[[#Headers],[Total Population for Each Indicator]:[Migrant Female]],0))</f>
        <v>No Goal</v>
      </c>
      <c r="F32" s="163" t="str">
        <f ca="1">OFFSET('Numeric Goals'!$A$2,MATCH(Ind_Filter,GoalAsCount_Tbl[Column1],0),MATCH(Dashboard!F31,GoalAsCount_Tbl[[#Headers],[Total Population for Each Indicator]:[Migrant Female]],0))</f>
        <v>No Goal</v>
      </c>
      <c r="G32" s="163" t="str">
        <f ca="1">OFFSET('Numeric Goals'!$A$2,MATCH(Ind_Filter,GoalAsCount_Tbl[Column1],0),MATCH(Dashboard!G31,GoalAsCount_Tbl[[#Headers],[Total Population for Each Indicator]:[Migrant Female]],0))</f>
        <v>No Goal</v>
      </c>
      <c r="H32" s="163" t="str">
        <f ca="1">OFFSET('Numeric Goals'!$A$2,MATCH(Ind_Filter,GoalAsCount_Tbl[Column1],0),MATCH(Dashboard!H31,GoalAsCount_Tbl[[#Headers],[Total Population for Each Indicator]:[Migrant Female]],0))</f>
        <v>No Goal</v>
      </c>
      <c r="I32" s="163" t="str">
        <f ca="1">OFFSET('Numeric Goals'!$A$2,MATCH(Ind_Filter,GoalAsCount_Tbl[Column1],0),MATCH(Dashboard!I31,GoalAsCount_Tbl[[#Headers],[Total Population for Each Indicator]:[Migrant Female]],0))</f>
        <v>No Goal</v>
      </c>
      <c r="J32" s="163" t="str">
        <f ca="1">OFFSET('Numeric Goals'!$A$2,MATCH(Ind_Filter,GoalAsCount_Tbl[Column1],0),MATCH(Dashboard!J31,GoalAsCount_Tbl[[#Headers],[Total Population for Each Indicator]:[Migrant Female]],0))</f>
        <v>No Goal</v>
      </c>
      <c r="K32" s="163" t="str">
        <f ca="1">OFFSET('Numeric Goals'!$A$2,MATCH(Ind_Filter,GoalAsCount_Tbl[Column1],0),MATCH(Dashboard!K31,GoalAsCount_Tbl[[#Headers],[Total Population for Each Indicator]:[Migrant Female]],0))</f>
        <v>No Goal</v>
      </c>
      <c r="L32" s="163" t="str">
        <f ca="1">OFFSET('Numeric Goals'!$A$2,MATCH(Ind_Filter,GoalAsCount_Tbl[Column1],0),MATCH(Dashboard!L31,GoalAsCount_Tbl[[#Headers],[Total Population for Each Indicator]:[Migrant Female]],0))</f>
        <v>No Goal</v>
      </c>
      <c r="M32" s="163" t="str">
        <f ca="1">OFFSET('Numeric Goals'!$A$2,MATCH(Ind_Filter,GoalAsCount_Tbl[Column1],0),MATCH(Dashboard!M31,GoalAsCount_Tbl[[#Headers],[Total Population for Each Indicator]:[Migrant Female]],0))</f>
        <v>No Goal</v>
      </c>
    </row>
    <row r="33" spans="2:13" ht="15" thickBot="1" x14ac:dyDescent="0.2">
      <c r="B33" s="167" t="s">
        <v>46</v>
      </c>
      <c r="C33" s="164" t="str">
        <f ca="1">OFFSET('Count Remaining To Goal'!$A$16,1,MATCH(Dashboard!C31,RemainCntToGoal_Tbl[[#Headers],[Male]:[Migrant Female]],0))</f>
        <v xml:space="preserve"> </v>
      </c>
      <c r="D33" s="164" t="str">
        <f ca="1">OFFSET('Count Remaining To Goal'!$A$16,1,MATCH(Dashboard!D31,RemainCntToGoal_Tbl[[#Headers],[Male]:[Migrant Female]],0))</f>
        <v xml:space="preserve"> </v>
      </c>
      <c r="E33" s="164" t="str">
        <f ca="1">OFFSET('Count Remaining To Goal'!$A$16,1,MATCH(Dashboard!E31,RemainCntToGoal_Tbl[[#Headers],[Male]:[Migrant Female]],0))</f>
        <v xml:space="preserve"> </v>
      </c>
      <c r="F33" s="164" t="str">
        <f ca="1">OFFSET('Count Remaining To Goal'!$A$16,1,MATCH(Dashboard!F31,RemainCntToGoal_Tbl[[#Headers],[Male]:[Migrant Female]],0))</f>
        <v xml:space="preserve"> </v>
      </c>
      <c r="G33" s="164" t="str">
        <f ca="1">OFFSET('Count Remaining To Goal'!$A$16,1,MATCH(Dashboard!G31,RemainCntToGoal_Tbl[[#Headers],[Male]:[Migrant Female]],0))</f>
        <v xml:space="preserve"> </v>
      </c>
      <c r="H33" s="164" t="str">
        <f ca="1">OFFSET('Count Remaining To Goal'!$A$16,1,MATCH(Dashboard!H31,RemainCntToGoal_Tbl[[#Headers],[Male]:[Migrant Female]],0))</f>
        <v xml:space="preserve"> </v>
      </c>
      <c r="I33" s="164" t="str">
        <f ca="1">OFFSET('Count Remaining To Goal'!$A$16,1,MATCH(Dashboard!I31,RemainCntToGoal_Tbl[[#Headers],[Male]:[Migrant Female]],0))</f>
        <v xml:space="preserve"> </v>
      </c>
      <c r="J33" s="164" t="str">
        <f ca="1">OFFSET('Count Remaining To Goal'!$A$16,1,MATCH(Dashboard!J31,RemainCntToGoal_Tbl[[#Headers],[Male]:[Migrant Female]],0))</f>
        <v xml:space="preserve"> </v>
      </c>
      <c r="K33" s="164" t="str">
        <f ca="1">OFFSET('Count Remaining To Goal'!$A$16,1,MATCH(Dashboard!K31,RemainCntToGoal_Tbl[[#Headers],[Male]:[Migrant Female]],0))</f>
        <v xml:space="preserve"> </v>
      </c>
      <c r="L33" s="164" t="str">
        <f ca="1">OFFSET('Count Remaining To Goal'!$A$16,1,MATCH(Dashboard!L31,RemainCntToGoal_Tbl[[#Headers],[Male]:[Migrant Female]],0))</f>
        <v xml:space="preserve"> </v>
      </c>
      <c r="M33" s="164" t="str">
        <f ca="1">OFFSET('Count Remaining To Goal'!$A$16,1,MATCH(Dashboard!M31,RemainCntToGoal_Tbl[[#Headers],[Male]:[Migrant Female]],0))</f>
        <v xml:space="preserve"> </v>
      </c>
    </row>
    <row r="34" spans="2:13" ht="21" customHeight="1" x14ac:dyDescent="0.15"/>
  </sheetData>
  <mergeCells count="28">
    <mergeCell ref="B2:D2"/>
    <mergeCell ref="A3:G3"/>
    <mergeCell ref="B18:O18"/>
    <mergeCell ref="E12:G12"/>
    <mergeCell ref="E13:G13"/>
    <mergeCell ref="D4:F4"/>
    <mergeCell ref="D5:O6"/>
    <mergeCell ref="E15:G15"/>
    <mergeCell ref="E16:G16"/>
    <mergeCell ref="L12:N12"/>
    <mergeCell ref="L13:N13"/>
    <mergeCell ref="L14:N14"/>
    <mergeCell ref="L15:N15"/>
    <mergeCell ref="L16:N16"/>
    <mergeCell ref="L11:N11"/>
    <mergeCell ref="I20:I21"/>
    <mergeCell ref="J20:J21"/>
    <mergeCell ref="A4:C4"/>
    <mergeCell ref="B8:G8"/>
    <mergeCell ref="F20:F21"/>
    <mergeCell ref="G20:G21"/>
    <mergeCell ref="H20:H21"/>
    <mergeCell ref="I10:N10"/>
    <mergeCell ref="E14:G14"/>
    <mergeCell ref="B10:G10"/>
    <mergeCell ref="E11:G11"/>
    <mergeCell ref="A5:C6"/>
    <mergeCell ref="I8:N8"/>
  </mergeCells>
  <conditionalFormatting sqref="F17:H17 F19:H19">
    <cfRule type="expression" dxfId="20" priority="17">
      <formula>$E17="No Goal"</formula>
    </cfRule>
  </conditionalFormatting>
  <conditionalFormatting sqref="E12:E16">
    <cfRule type="expression" dxfId="19" priority="81">
      <formula>$C12="No Goal"</formula>
    </cfRule>
  </conditionalFormatting>
  <conditionalFormatting sqref="L12:L16">
    <cfRule type="expression" dxfId="18" priority="100">
      <formula>$J12="No Goal"</formula>
    </cfRule>
  </conditionalFormatting>
  <pageMargins left="0.7" right="0.7" top="0.75" bottom="0.75" header="0.3" footer="0.3"/>
  <pageSetup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 stopIfTrue="1" id="{920004C3-F2C6-4CA0-8CBD-CA949C82A6FF}">
            <xm:f>ISNUMBER('Pct Remaining to Goal'!C$23)=FALSE</xm:f>
            <x14:dxf>
              <fill>
                <patternFill patternType="none">
                  <bgColor auto="1"/>
                </patternFill>
              </fill>
            </x14:dxf>
          </x14:cfRule>
          <x14:cfRule type="expression" priority="40" id="{44845369-9F2B-438D-88E8-3602B61F1281}">
            <xm:f>'Pct Remaining to Goal'!C$23&gt;=1</xm:f>
            <x14:dxf>
              <fill>
                <patternFill>
                  <bgColor rgb="FF00B050"/>
                </patternFill>
              </fill>
            </x14:dxf>
          </x14:cfRule>
          <x14:cfRule type="expression" priority="41" id="{F7A6B108-B684-4217-B3CA-54379332762F}">
            <xm:f>AND('Pct Remaining to Goal'!C$23&gt;=0.75,'Pct Remaining to Goal'!C$23&lt;1)</xm:f>
            <x14:dxf>
              <fill>
                <patternFill>
                  <bgColor rgb="FF92D050"/>
                </patternFill>
              </fill>
            </x14:dxf>
          </x14:cfRule>
          <x14:cfRule type="expression" priority="42" id="{AA7FA721-98AD-4181-9570-61D7D10E887E}">
            <xm:f>AND('Pct Remaining to Goal'!C$23&gt;=0.5,'Pct Remaining to Goal'!C$23&lt;0.75)</xm:f>
            <x14:dxf>
              <fill>
                <patternFill>
                  <bgColor theme="7" tint="0.59996337778862885"/>
                </patternFill>
              </fill>
            </x14:dxf>
          </x14:cfRule>
          <x14:cfRule type="expression" priority="43" id="{D1EBF9EA-BB46-4F3B-8917-E91CBA5F4E6D}">
            <xm:f>AND('Pct Remaining to Goal'!C$23&gt;=0.25,'Pct Remaining to Goal'!C$23&lt;0.5)</xm:f>
            <x14:dxf>
              <fill>
                <patternFill>
                  <bgColor rgb="FFFF9B9B"/>
                </patternFill>
              </fill>
            </x14:dxf>
          </x14:cfRule>
          <x14:cfRule type="expression" priority="44" id="{717CFDF8-771F-4ACC-B8D0-CB4880D57982}">
            <xm:f>'Pct Remaining to Goal'!C$23&lt;0.25</xm:f>
            <x14:dxf>
              <fill>
                <patternFill>
                  <bgColor rgb="FFFF0000"/>
                </patternFill>
              </fill>
            </x14:dxf>
          </x14:cfRule>
          <xm:sqref>D25:M25</xm:sqref>
        </x14:conditionalFormatting>
        <x14:conditionalFormatting xmlns:xm="http://schemas.microsoft.com/office/excel/2006/main">
          <x14:cfRule type="expression" priority="14" stopIfTrue="1" id="{6F6439CB-8822-499D-8A82-085F844ABEC9}">
            <xm:f>ISNUMBER('Pct Remaining to Goal'!B$28)=FALSE</xm:f>
            <x14:dxf>
              <fill>
                <patternFill patternType="none">
                  <bgColor auto="1"/>
                </patternFill>
              </fill>
            </x14:dxf>
          </x14:cfRule>
          <x14:cfRule type="expression" priority="35" id="{44845369-9F2B-438D-88E8-3602B61F1281}">
            <xm:f>'Pct Remaining to Goal'!B$28&gt;=1</xm:f>
            <x14:dxf>
              <fill>
                <patternFill>
                  <bgColor rgb="FF00B050"/>
                </patternFill>
              </fill>
            </x14:dxf>
          </x14:cfRule>
          <x14:cfRule type="expression" priority="36" id="{F7A6B108-B684-4217-B3CA-54379332762F}">
            <xm:f>AND('Pct Remaining to Goal'!B$28&gt;=0.75,'Pct Remaining to Goal'!B$28&lt;1)</xm:f>
            <x14:dxf>
              <fill>
                <patternFill>
                  <bgColor rgb="FF92D050"/>
                </patternFill>
              </fill>
            </x14:dxf>
          </x14:cfRule>
          <x14:cfRule type="expression" priority="37" id="{AA7FA721-98AD-4181-9570-61D7D10E887E}">
            <xm:f>AND('Pct Remaining to Goal'!B$28&gt;=0.5,'Pct Remaining to Goal'!B$28&lt;0.75)</xm:f>
            <x14:dxf>
              <fill>
                <patternFill>
                  <bgColor theme="7" tint="0.59996337778862885"/>
                </patternFill>
              </fill>
            </x14:dxf>
          </x14:cfRule>
          <x14:cfRule type="expression" priority="38" id="{D1EBF9EA-BB46-4F3B-8917-E91CBA5F4E6D}">
            <xm:f>AND('Pct Remaining to Goal'!B$28&gt;=0.25,'Pct Remaining to Goal'!B$28&lt;0.5)</xm:f>
            <x14:dxf>
              <fill>
                <patternFill>
                  <bgColor rgb="FFFF9B9B"/>
                </patternFill>
              </fill>
            </x14:dxf>
          </x14:cfRule>
          <x14:cfRule type="expression" priority="39" id="{717CFDF8-771F-4ACC-B8D0-CB4880D57982}">
            <xm:f>'Pct Remaining to Goal'!B$28&lt;0.25</xm:f>
            <x14:dxf>
              <fill>
                <patternFill>
                  <bgColor rgb="FFFF0000"/>
                </patternFill>
              </fill>
            </x14:dxf>
          </x14:cfRule>
          <xm:sqref>C29:M29</xm:sqref>
        </x14:conditionalFormatting>
        <x14:conditionalFormatting xmlns:xm="http://schemas.microsoft.com/office/excel/2006/main">
          <x14:cfRule type="expression" priority="13" stopIfTrue="1" id="{D4A3F027-CD42-4780-AB72-5FE65C68919E}">
            <xm:f>ISNUMBER('Pct Remaining to Goal'!B$33)=FALSE</xm:f>
            <x14:dxf>
              <fill>
                <patternFill patternType="none">
                  <bgColor auto="1"/>
                </patternFill>
              </fill>
            </x14:dxf>
          </x14:cfRule>
          <x14:cfRule type="expression" priority="19" id="{44845369-9F2B-438D-88E8-3602B61F1281}">
            <xm:f>'Pct Remaining to Goal'!B$33&gt;=1</xm:f>
            <x14:dxf>
              <fill>
                <patternFill>
                  <bgColor rgb="FF00B050"/>
                </patternFill>
              </fill>
            </x14:dxf>
          </x14:cfRule>
          <x14:cfRule type="expression" priority="20" id="{F7A6B108-B684-4217-B3CA-54379332762F}">
            <xm:f>AND('Pct Remaining to Goal'!B$33&gt;=0.75,'Pct Remaining to Goal'!B$33&lt;1)</xm:f>
            <x14:dxf>
              <fill>
                <patternFill>
                  <bgColor rgb="FF92D050"/>
                </patternFill>
              </fill>
            </x14:dxf>
          </x14:cfRule>
          <x14:cfRule type="expression" priority="21" id="{AA7FA721-98AD-4181-9570-61D7D10E887E}">
            <xm:f>AND('Pct Remaining to Goal'!B$33&gt;=0.5,'Pct Remaining to Goal'!B$33&lt;0.75)</xm:f>
            <x14:dxf>
              <fill>
                <patternFill>
                  <bgColor theme="7" tint="0.59996337778862885"/>
                </patternFill>
              </fill>
            </x14:dxf>
          </x14:cfRule>
          <x14:cfRule type="expression" priority="22" id="{D1EBF9EA-BB46-4F3B-8917-E91CBA5F4E6D}">
            <xm:f>AND('Pct Remaining to Goal'!B$33&gt;=0.25,'Pct Remaining to Goal'!B$33&lt;0.5)</xm:f>
            <x14:dxf>
              <fill>
                <patternFill>
                  <bgColor rgb="FFFF9B9B"/>
                </patternFill>
              </fill>
            </x14:dxf>
          </x14:cfRule>
          <x14:cfRule type="expression" priority="23" id="{717CFDF8-771F-4ACC-B8D0-CB4880D57982}">
            <xm:f>'Pct Remaining to Goal'!B$33&lt;0.25</xm:f>
            <x14:dxf>
              <fill>
                <patternFill>
                  <bgColor rgb="FFFF0000"/>
                </patternFill>
              </fill>
            </x14:dxf>
          </x14:cfRule>
          <xm:sqref>C33:M33</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7C9C83E4-06DD-4A90-8C63-DEE096D705A9}">
          <x14:formula1>
            <xm:f>'Counts Entered by User'!$A$4:$A$14</xm:f>
          </x14:formula1>
          <xm:sqref>D4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93E671157D044E95F0162E28733D58" ma:contentTypeVersion="16" ma:contentTypeDescription="Create a new document." ma:contentTypeScope="" ma:versionID="44ab2b2f4d747924f0497a83a44a2da5">
  <xsd:schema xmlns:xsd="http://www.w3.org/2001/XMLSchema" xmlns:xs="http://www.w3.org/2001/XMLSchema" xmlns:p="http://schemas.microsoft.com/office/2006/metadata/properties" xmlns:ns2="8a36f93f-62a5-4d8f-8acb-f5a620604acb" xmlns:ns3="fa0bef17-26ed-411d-baf7-5eebe850c537" targetNamespace="http://schemas.microsoft.com/office/2006/metadata/properties" ma:root="true" ma:fieldsID="d8b98c05c7f3b975c9a6fbd2dd70b701" ns2:_="" ns3:_="">
    <xsd:import namespace="8a36f93f-62a5-4d8f-8acb-f5a620604acb"/>
    <xsd:import namespace="fa0bef17-26ed-411d-baf7-5eebe850c53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6f93f-62a5-4d8f-8acb-f5a620604a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6817e45-ca6e-4c38-b674-2708a80477e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a0bef17-26ed-411d-baf7-5eebe850c53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ba51794-3781-4691-ad6b-2393b5943fa0}" ma:internalName="TaxCatchAll" ma:showField="CatchAllData" ma:web="fa0bef17-26ed-411d-baf7-5eebe850c53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a0bef17-26ed-411d-baf7-5eebe850c537" xsi:nil="true"/>
    <lcf76f155ced4ddcb4097134ff3c332f xmlns="8a36f93f-62a5-4d8f-8acb-f5a620604ac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F3DC0AE-D6C0-4452-A82F-47843F370F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36f93f-62a5-4d8f-8acb-f5a620604acb"/>
    <ds:schemaRef ds:uri="fa0bef17-26ed-411d-baf7-5eebe850c5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368C42-883F-46CF-9D53-BF62CD3A368F}">
  <ds:schemaRefs>
    <ds:schemaRef ds:uri="http://schemas.microsoft.com/sharepoint/v3/contenttype/forms"/>
  </ds:schemaRefs>
</ds:datastoreItem>
</file>

<file path=customXml/itemProps3.xml><?xml version="1.0" encoding="utf-8"?>
<ds:datastoreItem xmlns:ds="http://schemas.openxmlformats.org/officeDocument/2006/customXml" ds:itemID="{2441163C-D08F-443D-85BA-13480AB7CA96}">
  <ds:schemaRefs>
    <ds:schemaRef ds:uri="http://purl.org/dc/elements/1.1/"/>
    <ds:schemaRef ds:uri="http://schemas.microsoft.com/office/infopath/2007/PartnerControls"/>
    <ds:schemaRef ds:uri="http://purl.org/dc/terms/"/>
    <ds:schemaRef ds:uri="fa0bef17-26ed-411d-baf7-5eebe850c537"/>
    <ds:schemaRef ds:uri="http://schemas.openxmlformats.org/package/2006/metadata/core-properties"/>
    <ds:schemaRef ds:uri="8a36f93f-62a5-4d8f-8acb-f5a620604acb"/>
    <ds:schemaRef ds:uri="http://www.w3.org/XML/1998/namespace"/>
    <ds:schemaRef ds:uri="http://schemas.microsoft.com/office/2006/documentManagement/typ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vt:i4>
      </vt:variant>
      <vt:variant>
        <vt:lpstr>Named Ranges</vt:lpstr>
      </vt:variant>
      <vt:variant>
        <vt:i4>36</vt:i4>
      </vt:variant>
    </vt:vector>
  </HeadingPairs>
  <TitlesOfParts>
    <vt:vector size="45" baseType="lpstr">
      <vt:lpstr>User Instructions</vt:lpstr>
      <vt:lpstr>Indicator Definitions</vt:lpstr>
      <vt:lpstr>Counts Entered by User</vt:lpstr>
      <vt:lpstr>Current Representation</vt:lpstr>
      <vt:lpstr>Goals Entered by User</vt:lpstr>
      <vt:lpstr>Numeric Goals</vt:lpstr>
      <vt:lpstr>Count Remaining To Goal</vt:lpstr>
      <vt:lpstr>Pct Remaining to Goal</vt:lpstr>
      <vt:lpstr>Dashboard</vt:lpstr>
      <vt:lpstr>Ind_Filter</vt:lpstr>
      <vt:lpstr>indicator_defs</vt:lpstr>
      <vt:lpstr>Indicators</vt:lpstr>
      <vt:lpstr>Tot_AIorAN</vt:lpstr>
      <vt:lpstr>Tot_AIorAN_Female</vt:lpstr>
      <vt:lpstr>Tot_AIorAN_Male</vt:lpstr>
      <vt:lpstr>Tot_API</vt:lpstr>
      <vt:lpstr>Tot_API_Female</vt:lpstr>
      <vt:lpstr>Tot_API_Male</vt:lpstr>
      <vt:lpstr>Tot_BNL</vt:lpstr>
      <vt:lpstr>Tot_BNL_Female</vt:lpstr>
      <vt:lpstr>Tot_BNL_Male</vt:lpstr>
      <vt:lpstr>Tot_Disab</vt:lpstr>
      <vt:lpstr>Tot_Disab_Female</vt:lpstr>
      <vt:lpstr>Tot_Disab_Male</vt:lpstr>
      <vt:lpstr>Tot_Econ_Disadv</vt:lpstr>
      <vt:lpstr>Tot_Econ_Disadv_Female</vt:lpstr>
      <vt:lpstr>Tot_Econ_Disadv_Male</vt:lpstr>
      <vt:lpstr>Tot_Eng_Lang</vt:lpstr>
      <vt:lpstr>Tot_Eng_Lang_Female</vt:lpstr>
      <vt:lpstr>Tot_Eng_Lang_Male</vt:lpstr>
      <vt:lpstr>Tot_Female</vt:lpstr>
      <vt:lpstr>Tot_Latinx</vt:lpstr>
      <vt:lpstr>Tot_Latinx_Female</vt:lpstr>
      <vt:lpstr>Tot_Latinx_Male</vt:lpstr>
      <vt:lpstr>Tot_Male</vt:lpstr>
      <vt:lpstr>Tot_Migrant</vt:lpstr>
      <vt:lpstr>Tot_Migrant_Female</vt:lpstr>
      <vt:lpstr>Tot_Migrant_Male</vt:lpstr>
      <vt:lpstr>Tot_Multiracial</vt:lpstr>
      <vt:lpstr>Tot_Multiracial_Female</vt:lpstr>
      <vt:lpstr>Tot_Multiracial_Male</vt:lpstr>
      <vt:lpstr>Tot_Student_Pop</vt:lpstr>
      <vt:lpstr>Tot_WN_Latinx</vt:lpstr>
      <vt:lpstr>Tot_WN_Latinx_Female</vt:lpstr>
      <vt:lpstr>Tot_WN_Latinx_Male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Haley Wing</dc:creator>
  <cp:keywords/>
  <dc:description/>
  <cp:lastModifiedBy>Haley Wing</cp:lastModifiedBy>
  <cp:revision/>
  <dcterms:created xsi:type="dcterms:W3CDTF">2021-07-27T15:38:10Z</dcterms:created>
  <dcterms:modified xsi:type="dcterms:W3CDTF">2022-12-01T16:14:22Z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0x0101007693E671157D044E95F0162E28733D58</vt:lpwstr>
  </property>
  <property fmtid="{D5CDD505-2E9C-101B-9397-08002B2CF9AE}" pid="3" name="MediaServiceImageTags">
    <vt:lpwstr/>
  </property>
</Properties>
</file>